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13_ncr:1_{CD06184F-0362-4458-9B54-35F18E9BD72D}" xr6:coauthVersionLast="46" xr6:coauthVersionMax="46" xr10:uidLastSave="{00000000-0000-0000-0000-000000000000}"/>
  <bookViews>
    <workbookView xWindow="-120" yWindow="-120" windowWidth="20730" windowHeight="11160" activeTab="1" xr2:uid="{4E2AF747-2348-479B-9336-266E929DBC3C}"/>
  </bookViews>
  <sheets>
    <sheet name="段切り安全率" sheetId="2" r:id="rId1"/>
    <sheet name="段切り図面" sheetId="15" r:id="rId2"/>
    <sheet name="マニュアル" sheetId="3" r:id="rId3"/>
    <sheet name="判別" sheetId="4" r:id="rId4"/>
    <sheet name="テーパー化間隙圧有りSheet1" sheetId="5" r:id="rId5"/>
    <sheet name="テーパー化間隙圧有りSheet2 (2)" sheetId="13" r:id="rId6"/>
    <sheet name="テーパー化間隙圧なし (2)" sheetId="14" r:id="rId7"/>
    <sheet name="　テーパー化・地震" sheetId="9"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4" l="1"/>
  <c r="D15" i="14"/>
  <c r="D20" i="14" s="1"/>
  <c r="E14" i="14"/>
  <c r="E10" i="14" s="1"/>
  <c r="D14" i="14"/>
  <c r="D10" i="14"/>
  <c r="D18" i="14" s="1"/>
  <c r="D8" i="14"/>
  <c r="D6" i="14"/>
  <c r="D5" i="14"/>
  <c r="E4" i="14"/>
  <c r="D4" i="14"/>
  <c r="E3" i="14"/>
  <c r="D3" i="14"/>
  <c r="E40" i="13"/>
  <c r="E29" i="13"/>
  <c r="E28" i="13"/>
  <c r="E53" i="13" s="1"/>
  <c r="E24" i="13"/>
  <c r="E20" i="13"/>
  <c r="E25" i="13" s="1"/>
  <c r="E16" i="13"/>
  <c r="E32" i="13" s="1"/>
  <c r="E4" i="13"/>
  <c r="E3" i="13"/>
  <c r="E15" i="9"/>
  <c r="E20" i="9" s="1"/>
  <c r="D15" i="9"/>
  <c r="D20" i="9" s="1"/>
  <c r="E14" i="9"/>
  <c r="D14" i="9"/>
  <c r="E10" i="9"/>
  <c r="E18" i="9" s="1"/>
  <c r="D10" i="9"/>
  <c r="D18" i="9" s="1"/>
  <c r="E8" i="9"/>
  <c r="D8" i="9"/>
  <c r="E6" i="9"/>
  <c r="D6" i="9"/>
  <c r="E5" i="9"/>
  <c r="D5" i="9"/>
  <c r="E4" i="9"/>
  <c r="D4" i="9"/>
  <c r="E3" i="9"/>
  <c r="D3" i="9"/>
  <c r="E39" i="5"/>
  <c r="E29" i="5"/>
  <c r="E28" i="5"/>
  <c r="E53" i="5" s="1"/>
  <c r="E24" i="5"/>
  <c r="E20" i="5"/>
  <c r="E22" i="5" s="1"/>
  <c r="E16" i="5"/>
  <c r="E32" i="5" s="1"/>
  <c r="E4" i="5"/>
  <c r="E3" i="5"/>
  <c r="E54" i="4"/>
  <c r="E51" i="4" s="1"/>
  <c r="F52" i="4"/>
  <c r="F53" i="4" s="1"/>
  <c r="E52" i="4"/>
  <c r="E53" i="4" s="1"/>
  <c r="F51" i="4"/>
  <c r="F47" i="4"/>
  <c r="F46" i="4"/>
  <c r="E46" i="4"/>
  <c r="H14" i="2"/>
  <c r="H21" i="2" s="1"/>
  <c r="G14" i="2"/>
  <c r="G21" i="2" s="1"/>
  <c r="F14" i="2"/>
  <c r="F21" i="2" s="1"/>
  <c r="E14" i="2"/>
  <c r="E21" i="2" s="1"/>
  <c r="H12" i="2"/>
  <c r="H18" i="2" s="1"/>
  <c r="G12" i="2"/>
  <c r="G18" i="2" s="1"/>
  <c r="F12" i="2"/>
  <c r="F18" i="2" s="1"/>
  <c r="E12" i="2"/>
  <c r="E18" i="2" s="1"/>
  <c r="H10" i="2"/>
  <c r="H17" i="2" s="1"/>
  <c r="G10" i="2"/>
  <c r="G17" i="2" s="1"/>
  <c r="F10" i="2"/>
  <c r="F17" i="2" s="1"/>
  <c r="E10" i="2"/>
  <c r="E17" i="2" s="1"/>
  <c r="E18" i="14" l="1"/>
  <c r="E8" i="14"/>
  <c r="E5" i="14"/>
  <c r="E6" i="14"/>
  <c r="E20" i="14"/>
  <c r="D7" i="14"/>
  <c r="D34" i="14" s="1"/>
  <c r="E22" i="13"/>
  <c r="E19" i="13"/>
  <c r="E21" i="13"/>
  <c r="E23" i="13"/>
  <c r="E27" i="13"/>
  <c r="D32" i="9"/>
  <c r="D7" i="9"/>
  <c r="D35" i="9" s="1"/>
  <c r="D30" i="9"/>
  <c r="E7" i="9"/>
  <c r="E35" i="9" s="1"/>
  <c r="E30" i="9"/>
  <c r="E19" i="5"/>
  <c r="E21" i="5"/>
  <c r="E23" i="5"/>
  <c r="E25" i="5"/>
  <c r="E27" i="5"/>
  <c r="E64" i="4"/>
  <c r="E57" i="4"/>
  <c r="E56" i="4"/>
  <c r="F64" i="4"/>
  <c r="F57" i="4"/>
  <c r="F56" i="4"/>
  <c r="E47" i="4"/>
  <c r="E25" i="2"/>
  <c r="E26" i="2" s="1"/>
  <c r="E20" i="2"/>
  <c r="E19" i="2"/>
  <c r="E16" i="2"/>
  <c r="E32" i="2" s="1"/>
  <c r="E33" i="2" s="1"/>
  <c r="G25" i="2"/>
  <c r="G26" i="2" s="1"/>
  <c r="G20" i="2"/>
  <c r="G19" i="2"/>
  <c r="G16" i="2"/>
  <c r="G32" i="2" s="1"/>
  <c r="G33" i="2" s="1"/>
  <c r="F25" i="2"/>
  <c r="F26" i="2" s="1"/>
  <c r="F20" i="2"/>
  <c r="F19" i="2"/>
  <c r="F16" i="2"/>
  <c r="F32" i="2" s="1"/>
  <c r="F33" i="2" s="1"/>
  <c r="H25" i="2"/>
  <c r="H26" i="2" s="1"/>
  <c r="H20" i="2"/>
  <c r="H19" i="2"/>
  <c r="H16" i="2"/>
  <c r="H32" i="2" s="1"/>
  <c r="H33" i="2" s="1"/>
  <c r="E7" i="14" l="1"/>
  <c r="E34" i="14" s="1"/>
  <c r="D29" i="14"/>
  <c r="D31" i="14"/>
  <c r="D22" i="14" s="1"/>
  <c r="E39" i="13"/>
  <c r="E6" i="13" s="1"/>
  <c r="E34" i="13"/>
  <c r="E26" i="13"/>
  <c r="E13" i="13"/>
  <c r="E15" i="13" s="1"/>
  <c r="D23" i="9"/>
  <c r="E32" i="9"/>
  <c r="E23" i="9" s="1"/>
  <c r="E13" i="5"/>
  <c r="E15" i="5" s="1"/>
  <c r="E6" i="5"/>
  <c r="E26" i="5"/>
  <c r="E34" i="5"/>
  <c r="E14" i="5"/>
  <c r="E5" i="5"/>
  <c r="H24" i="2"/>
  <c r="H23" i="2"/>
  <c r="F24" i="2"/>
  <c r="F23" i="2"/>
  <c r="G24" i="2"/>
  <c r="G23" i="2"/>
  <c r="E24" i="2"/>
  <c r="E23" i="2"/>
  <c r="H30" i="2"/>
  <c r="H27" i="2"/>
  <c r="H28" i="2" s="1"/>
  <c r="H29" i="2" s="1"/>
  <c r="F30" i="2"/>
  <c r="F27" i="2"/>
  <c r="F28" i="2" s="1"/>
  <c r="F29" i="2"/>
  <c r="G30" i="2"/>
  <c r="G27" i="2"/>
  <c r="G28" i="2" s="1"/>
  <c r="G29" i="2" s="1"/>
  <c r="E30" i="2"/>
  <c r="E27" i="2"/>
  <c r="E28" i="2" s="1"/>
  <c r="E29" i="2"/>
  <c r="E31" i="14" l="1"/>
  <c r="E22" i="14" s="1"/>
  <c r="E29" i="14"/>
  <c r="E5" i="13"/>
  <c r="E14" i="13"/>
  <c r="E7" i="5"/>
  <c r="E51" i="5" s="1"/>
  <c r="E34" i="2"/>
  <c r="E35" i="2" s="1"/>
  <c r="E31" i="2"/>
  <c r="F31" i="2"/>
  <c r="F34" i="2" s="1"/>
  <c r="F35" i="2" s="1"/>
  <c r="G31" i="2"/>
  <c r="G34" i="2" s="1"/>
  <c r="G35" i="2" s="1"/>
  <c r="H31" i="2"/>
  <c r="H34" i="2" s="1"/>
  <c r="H35" i="2" s="1"/>
  <c r="E7" i="13" l="1"/>
  <c r="E51" i="13" s="1"/>
  <c r="E44" i="5"/>
  <c r="E47" i="5"/>
  <c r="E36" i="5" s="1"/>
  <c r="F36" i="5" s="1"/>
  <c r="E47" i="13" l="1"/>
  <c r="E44" i="13"/>
  <c r="E36" i="13" l="1"/>
  <c r="F36" i="13" s="1"/>
</calcChain>
</file>

<file path=xl/sharedStrings.xml><?xml version="1.0" encoding="utf-8"?>
<sst xmlns="http://schemas.openxmlformats.org/spreadsheetml/2006/main" count="623" uniqueCount="266">
  <si>
    <t>段切りの安定計算</t>
    <rPh sb="0" eb="1">
      <t>ダン</t>
    </rPh>
    <rPh sb="1" eb="2">
      <t>ギ</t>
    </rPh>
    <rPh sb="4" eb="6">
      <t>アンテイ</t>
    </rPh>
    <rPh sb="6" eb="8">
      <t>ケイサン</t>
    </rPh>
    <phoneticPr fontId="3"/>
  </si>
  <si>
    <t>入力数値</t>
    <rPh sb="0" eb="2">
      <t>ニュウリョク</t>
    </rPh>
    <rPh sb="2" eb="4">
      <t>スウチ</t>
    </rPh>
    <phoneticPr fontId="3"/>
  </si>
  <si>
    <t>段高さ１ｍ</t>
    <rPh sb="0" eb="1">
      <t>ダン</t>
    </rPh>
    <rPh sb="1" eb="2">
      <t>タカ</t>
    </rPh>
    <phoneticPr fontId="3"/>
  </si>
  <si>
    <t>段高さ２ｍ</t>
    <rPh sb="0" eb="1">
      <t>ダン</t>
    </rPh>
    <rPh sb="1" eb="2">
      <t>タカ</t>
    </rPh>
    <phoneticPr fontId="3"/>
  </si>
  <si>
    <t>記号</t>
    <rPh sb="0" eb="2">
      <t>キゴウ</t>
    </rPh>
    <phoneticPr fontId="3"/>
  </si>
  <si>
    <t>内容</t>
    <rPh sb="0" eb="2">
      <t>ナイヨウ</t>
    </rPh>
    <phoneticPr fontId="3"/>
  </si>
  <si>
    <t>式</t>
    <rPh sb="0" eb="1">
      <t>シキ</t>
    </rPh>
    <phoneticPr fontId="3"/>
  </si>
  <si>
    <t>単位</t>
    <rPh sb="0" eb="2">
      <t>タンイ</t>
    </rPh>
    <phoneticPr fontId="3"/>
  </si>
  <si>
    <t>１：０．５</t>
    <phoneticPr fontId="3"/>
  </si>
  <si>
    <t>１：０．８</t>
    <phoneticPr fontId="3"/>
  </si>
  <si>
    <t>１：０．９</t>
    <phoneticPr fontId="3"/>
  </si>
  <si>
    <t>１：０．６</t>
    <phoneticPr fontId="3"/>
  </si>
  <si>
    <t>Ｃ</t>
    <phoneticPr fontId="3"/>
  </si>
  <si>
    <t>粘着力</t>
    <rPh sb="0" eb="3">
      <t>ネンチャクリョク</t>
    </rPh>
    <phoneticPr fontId="3"/>
  </si>
  <si>
    <t>φ１</t>
    <phoneticPr fontId="3"/>
  </si>
  <si>
    <t>土ー土界面せん断抵抗角</t>
    <rPh sb="0" eb="1">
      <t>ツチ</t>
    </rPh>
    <rPh sb="2" eb="3">
      <t>ド</t>
    </rPh>
    <rPh sb="3" eb="5">
      <t>カイメン</t>
    </rPh>
    <rPh sb="7" eb="8">
      <t>ダン</t>
    </rPh>
    <rPh sb="8" eb="10">
      <t>テイコウ</t>
    </rPh>
    <rPh sb="10" eb="11">
      <t>カク</t>
    </rPh>
    <phoneticPr fontId="3"/>
  </si>
  <si>
    <t>°</t>
    <phoneticPr fontId="3"/>
  </si>
  <si>
    <t>φ２</t>
    <phoneticPr fontId="3"/>
  </si>
  <si>
    <t>マットー土界面せん断抵抗角</t>
    <rPh sb="4" eb="5">
      <t>ド</t>
    </rPh>
    <rPh sb="5" eb="7">
      <t>カイメン</t>
    </rPh>
    <rPh sb="9" eb="10">
      <t>ダン</t>
    </rPh>
    <rPh sb="10" eb="12">
      <t>テイコウ</t>
    </rPh>
    <rPh sb="12" eb="13">
      <t>カク</t>
    </rPh>
    <phoneticPr fontId="3"/>
  </si>
  <si>
    <t>γsat</t>
    <phoneticPr fontId="3"/>
  </si>
  <si>
    <t>土の単位体積重量</t>
    <rPh sb="0" eb="1">
      <t>ツチ</t>
    </rPh>
    <rPh sb="2" eb="4">
      <t>タンイ</t>
    </rPh>
    <rPh sb="4" eb="6">
      <t>タイセキ</t>
    </rPh>
    <rPh sb="6" eb="8">
      <t>ジュウリョウ</t>
    </rPh>
    <phoneticPr fontId="3"/>
  </si>
  <si>
    <t>KN／ｍ3</t>
    <phoneticPr fontId="3"/>
  </si>
  <si>
    <t>仕上がり勾配（割表示）</t>
    <rPh sb="0" eb="2">
      <t>シア</t>
    </rPh>
    <rPh sb="4" eb="6">
      <t>コウバイ</t>
    </rPh>
    <rPh sb="7" eb="8">
      <t>ワリ</t>
    </rPh>
    <rPh sb="8" eb="10">
      <t>ヒョウジ</t>
    </rPh>
    <phoneticPr fontId="3"/>
  </si>
  <si>
    <t>割</t>
    <rPh sb="0" eb="1">
      <t>ワリ</t>
    </rPh>
    <phoneticPr fontId="3"/>
  </si>
  <si>
    <t>β1</t>
    <phoneticPr fontId="3"/>
  </si>
  <si>
    <t>仕上がり勾配（°表示）</t>
    <rPh sb="0" eb="2">
      <t>シア</t>
    </rPh>
    <rPh sb="4" eb="6">
      <t>コウバイ</t>
    </rPh>
    <rPh sb="8" eb="10">
      <t>ヒョウジ</t>
    </rPh>
    <phoneticPr fontId="3"/>
  </si>
  <si>
    <t>小段の平均勾配（割表示）</t>
    <rPh sb="0" eb="1">
      <t>コ</t>
    </rPh>
    <rPh sb="1" eb="2">
      <t>ダン</t>
    </rPh>
    <rPh sb="3" eb="5">
      <t>ヘイキン</t>
    </rPh>
    <rPh sb="5" eb="7">
      <t>コウバイ</t>
    </rPh>
    <rPh sb="8" eb="9">
      <t>ワリ</t>
    </rPh>
    <rPh sb="9" eb="11">
      <t>ヒョウジ</t>
    </rPh>
    <phoneticPr fontId="3"/>
  </si>
  <si>
    <t>β2</t>
    <phoneticPr fontId="3"/>
  </si>
  <si>
    <t>小段の平均勾配（°表示）</t>
    <rPh sb="0" eb="1">
      <t>コ</t>
    </rPh>
    <rPh sb="1" eb="2">
      <t>ダン</t>
    </rPh>
    <rPh sb="3" eb="5">
      <t>ヘイキン</t>
    </rPh>
    <rPh sb="5" eb="7">
      <t>コウバイ</t>
    </rPh>
    <rPh sb="9" eb="11">
      <t>ヒョウジ</t>
    </rPh>
    <phoneticPr fontId="3"/>
  </si>
  <si>
    <t>小段の勾配（割表示）</t>
    <rPh sb="0" eb="1">
      <t>コ</t>
    </rPh>
    <rPh sb="1" eb="2">
      <t>ダン</t>
    </rPh>
    <rPh sb="3" eb="5">
      <t>コウバイ</t>
    </rPh>
    <rPh sb="6" eb="7">
      <t>ワリ</t>
    </rPh>
    <rPh sb="7" eb="9">
      <t>ヒョウジ</t>
    </rPh>
    <phoneticPr fontId="3"/>
  </si>
  <si>
    <t>ω</t>
    <phoneticPr fontId="3"/>
  </si>
  <si>
    <t>小段の勾配（°表示）</t>
    <rPh sb="0" eb="1">
      <t>コ</t>
    </rPh>
    <rPh sb="1" eb="2">
      <t>ダン</t>
    </rPh>
    <rPh sb="3" eb="5">
      <t>コウバイ</t>
    </rPh>
    <rPh sb="7" eb="9">
      <t>ヒョウジ</t>
    </rPh>
    <phoneticPr fontId="3"/>
  </si>
  <si>
    <t>hc1</t>
    <phoneticPr fontId="3"/>
  </si>
  <si>
    <t>段の出角から覆土表面までの垂直距離</t>
    <rPh sb="0" eb="1">
      <t>ダン</t>
    </rPh>
    <rPh sb="2" eb="3">
      <t>デ</t>
    </rPh>
    <rPh sb="3" eb="4">
      <t>カド</t>
    </rPh>
    <rPh sb="6" eb="7">
      <t>フク</t>
    </rPh>
    <rPh sb="7" eb="8">
      <t>ド</t>
    </rPh>
    <rPh sb="8" eb="10">
      <t>ヒョウメン</t>
    </rPh>
    <rPh sb="13" eb="15">
      <t>スイチョク</t>
    </rPh>
    <rPh sb="15" eb="17">
      <t>キョリ</t>
    </rPh>
    <phoneticPr fontId="3"/>
  </si>
  <si>
    <t>ｍ</t>
    <phoneticPr fontId="3"/>
  </si>
  <si>
    <t>hc2</t>
    <phoneticPr fontId="3"/>
  </si>
  <si>
    <t>1段上の段の出角から覆土表面までの垂直距離</t>
    <rPh sb="1" eb="2">
      <t>ダン</t>
    </rPh>
    <rPh sb="2" eb="3">
      <t>ウエ</t>
    </rPh>
    <rPh sb="4" eb="5">
      <t>ダン</t>
    </rPh>
    <rPh sb="6" eb="7">
      <t>デ</t>
    </rPh>
    <rPh sb="7" eb="8">
      <t>カド</t>
    </rPh>
    <rPh sb="10" eb="11">
      <t>フク</t>
    </rPh>
    <rPh sb="11" eb="12">
      <t>ド</t>
    </rPh>
    <rPh sb="12" eb="14">
      <t>ヒョウメン</t>
    </rPh>
    <rPh sb="17" eb="19">
      <t>スイチョク</t>
    </rPh>
    <rPh sb="19" eb="21">
      <t>キョリ</t>
    </rPh>
    <phoneticPr fontId="3"/>
  </si>
  <si>
    <t>（a+b+e)tanβ1－ｆ</t>
    <phoneticPr fontId="3"/>
  </si>
  <si>
    <t>a</t>
    <phoneticPr fontId="3"/>
  </si>
  <si>
    <t>別図</t>
    <rPh sb="0" eb="1">
      <t>ベツ</t>
    </rPh>
    <rPh sb="1" eb="2">
      <t>ズ</t>
    </rPh>
    <phoneticPr fontId="3"/>
  </si>
  <si>
    <t>hc1／tanβ1</t>
    <phoneticPr fontId="3"/>
  </si>
  <si>
    <t>b</t>
    <phoneticPr fontId="3"/>
  </si>
  <si>
    <t>ｆ（１／ｔａｎβー１／tanω）</t>
    <phoneticPr fontId="3"/>
  </si>
  <si>
    <t>c</t>
    <phoneticPr fontId="3"/>
  </si>
  <si>
    <t>（a＋b）tanβ1</t>
    <phoneticPr fontId="3"/>
  </si>
  <si>
    <t>d</t>
    <phoneticPr fontId="3"/>
  </si>
  <si>
    <t>｛（a+b+e)tanβ1－ｆ｝／（tanω－ｔａｎβ1）</t>
    <phoneticPr fontId="3"/>
  </si>
  <si>
    <t>e</t>
    <phoneticPr fontId="3"/>
  </si>
  <si>
    <t>ｆ／tanω</t>
    <phoneticPr fontId="3"/>
  </si>
  <si>
    <t>ｆ</t>
    <phoneticPr fontId="3"/>
  </si>
  <si>
    <t>別図（小段の高さ）</t>
    <rPh sb="0" eb="1">
      <t>ベツ</t>
    </rPh>
    <rPh sb="1" eb="2">
      <t>ズ</t>
    </rPh>
    <rPh sb="3" eb="4">
      <t>コ</t>
    </rPh>
    <rPh sb="4" eb="5">
      <t>ダン</t>
    </rPh>
    <rPh sb="6" eb="7">
      <t>タカ</t>
    </rPh>
    <phoneticPr fontId="3"/>
  </si>
  <si>
    <t>ｇ</t>
    <phoneticPr fontId="3"/>
  </si>
  <si>
    <t>dtanβ2</t>
    <phoneticPr fontId="3"/>
  </si>
  <si>
    <t>ｈ</t>
    <phoneticPr fontId="3"/>
  </si>
  <si>
    <t>d（tanωーtanβ2）</t>
    <phoneticPr fontId="3"/>
  </si>
  <si>
    <t>Ｗa1</t>
  </si>
  <si>
    <t>受働楔Ａ１の重量</t>
    <rPh sb="0" eb="1">
      <t>ウケ</t>
    </rPh>
    <rPh sb="1" eb="2">
      <t>ハタラキ</t>
    </rPh>
    <rPh sb="2" eb="3">
      <t>クサビ</t>
    </rPh>
    <rPh sb="6" eb="8">
      <t>ジュウリョウ</t>
    </rPh>
    <phoneticPr fontId="3"/>
  </si>
  <si>
    <t>（a×hc1×1/2）×γsat</t>
    <phoneticPr fontId="3"/>
  </si>
  <si>
    <t>KN／ｍ</t>
    <phoneticPr fontId="3"/>
  </si>
  <si>
    <t>Ｓa１</t>
    <phoneticPr fontId="3"/>
  </si>
  <si>
    <t>摩擦力</t>
    <rPh sb="0" eb="3">
      <t>マサツリョク</t>
    </rPh>
    <phoneticPr fontId="3"/>
  </si>
  <si>
    <t>Ｃ＋Ｗa１×tanφ１</t>
    <phoneticPr fontId="3"/>
  </si>
  <si>
    <t>Ｗa２</t>
    <phoneticPr fontId="3"/>
  </si>
  <si>
    <t>受働楔Ａ２の重量</t>
    <rPh sb="0" eb="1">
      <t>ウケ</t>
    </rPh>
    <rPh sb="1" eb="2">
      <t>ハタラキ</t>
    </rPh>
    <rPh sb="2" eb="3">
      <t>クサビ</t>
    </rPh>
    <rPh sb="6" eb="8">
      <t>ジュウリョウ</t>
    </rPh>
    <phoneticPr fontId="3"/>
  </si>
  <si>
    <t>｛（hc1＋c）×１／２×b｝×γsat</t>
    <phoneticPr fontId="3"/>
  </si>
  <si>
    <t>Ｓa２</t>
    <phoneticPr fontId="3"/>
  </si>
  <si>
    <t>Ｃ＋Ｗa2×tanφ2</t>
    <phoneticPr fontId="3"/>
  </si>
  <si>
    <t>Ｐ</t>
    <phoneticPr fontId="3"/>
  </si>
  <si>
    <t>支持力</t>
    <rPh sb="0" eb="2">
      <t>シジ</t>
    </rPh>
    <rPh sb="2" eb="3">
      <t>リョク</t>
    </rPh>
    <phoneticPr fontId="3"/>
  </si>
  <si>
    <t>（Ｓa1＋Ｓa2）／cos((β1＋β2）/2)</t>
    <phoneticPr fontId="3"/>
  </si>
  <si>
    <t>Ｗb１</t>
    <phoneticPr fontId="3"/>
  </si>
  <si>
    <t>主働楔Ｂ１の重量</t>
    <rPh sb="0" eb="3">
      <t>シュドウセツ</t>
    </rPh>
    <rPh sb="6" eb="8">
      <t>ジュウリョウ</t>
    </rPh>
    <phoneticPr fontId="3"/>
  </si>
  <si>
    <t>｛（ｃ＋ｈc2）×1/2×e｝×γsat</t>
    <phoneticPr fontId="3"/>
  </si>
  <si>
    <t>Ｓｂ１</t>
    <phoneticPr fontId="3"/>
  </si>
  <si>
    <t>摩擦力</t>
    <rPh sb="0" eb="2">
      <t>マサツ</t>
    </rPh>
    <rPh sb="2" eb="3">
      <t>リョク</t>
    </rPh>
    <phoneticPr fontId="3"/>
  </si>
  <si>
    <t>Ｃ＋Ｗｂ1ｃｏｓω×ｔａｎφ2</t>
    <phoneticPr fontId="3"/>
  </si>
  <si>
    <t>Ｗb２</t>
    <phoneticPr fontId="3"/>
  </si>
  <si>
    <t>主働楔Ｂ２の重量</t>
    <rPh sb="0" eb="3">
      <t>シュドウセツ</t>
    </rPh>
    <rPh sb="6" eb="8">
      <t>ジュウリョウ</t>
    </rPh>
    <phoneticPr fontId="3"/>
  </si>
  <si>
    <t>ｈc2×ｄ×1/2×γsat</t>
    <phoneticPr fontId="3"/>
  </si>
  <si>
    <t>Ｓｂ２</t>
    <phoneticPr fontId="3"/>
  </si>
  <si>
    <t>Ｃ＋Ｗb2cosω×tanφ1</t>
    <phoneticPr fontId="3"/>
  </si>
  <si>
    <t>Ｐ´</t>
    <phoneticPr fontId="3"/>
  </si>
  <si>
    <t>すべり力</t>
    <rPh sb="3" eb="4">
      <t>リョク</t>
    </rPh>
    <phoneticPr fontId="3"/>
  </si>
  <si>
    <t>｛（Ｗb1＋Ｗb2）×sinωー（Ｓb1＋Ｓb2）｝×cos｛(β1+β2）/2ーω｝</t>
    <phoneticPr fontId="3"/>
  </si>
  <si>
    <t>Ｆｓ</t>
    <phoneticPr fontId="3"/>
  </si>
  <si>
    <t>Ｐ／Ｐ´</t>
    <phoneticPr fontId="3"/>
  </si>
  <si>
    <t>１.堤体の安定計算</t>
    <rPh sb="2" eb="3">
      <t>テイ</t>
    </rPh>
    <rPh sb="3" eb="4">
      <t>タイ</t>
    </rPh>
    <rPh sb="5" eb="7">
      <t>アンテイ</t>
    </rPh>
    <rPh sb="7" eb="9">
      <t>ケイサン</t>
    </rPh>
    <phoneticPr fontId="3"/>
  </si>
  <si>
    <t>１－１．安全率</t>
    <rPh sb="4" eb="6">
      <t>アンゼン</t>
    </rPh>
    <rPh sb="6" eb="7">
      <t>リツ</t>
    </rPh>
    <phoneticPr fontId="3"/>
  </si>
  <si>
    <t>遮水シートを覆土で保護した構造ではシート接触部でのすべりチェックを以下のプログラムで行う。</t>
    <rPh sb="0" eb="1">
      <t>シャ</t>
    </rPh>
    <rPh sb="1" eb="2">
      <t>スイ</t>
    </rPh>
    <rPh sb="6" eb="7">
      <t>フク</t>
    </rPh>
    <rPh sb="7" eb="8">
      <t>ド</t>
    </rPh>
    <rPh sb="9" eb="11">
      <t>ホゴ</t>
    </rPh>
    <rPh sb="13" eb="15">
      <t>コウゾウ</t>
    </rPh>
    <rPh sb="20" eb="22">
      <t>セッショク</t>
    </rPh>
    <rPh sb="22" eb="23">
      <t>ブ</t>
    </rPh>
    <rPh sb="33" eb="35">
      <t>イカ</t>
    </rPh>
    <rPh sb="42" eb="43">
      <t>オコナ</t>
    </rPh>
    <phoneticPr fontId="3"/>
  </si>
  <si>
    <t>本堤のすべりチェックは例えば土地改良事業設計指針「ため池整備」p49参照とする。</t>
    <rPh sb="0" eb="1">
      <t>ホン</t>
    </rPh>
    <rPh sb="1" eb="2">
      <t>テイ</t>
    </rPh>
    <rPh sb="11" eb="12">
      <t>タト</t>
    </rPh>
    <rPh sb="14" eb="16">
      <t>トチ</t>
    </rPh>
    <rPh sb="16" eb="18">
      <t>カイリョウ</t>
    </rPh>
    <rPh sb="18" eb="20">
      <t>ジギョウ</t>
    </rPh>
    <rPh sb="20" eb="22">
      <t>セッケイ</t>
    </rPh>
    <rPh sb="22" eb="24">
      <t>シシン</t>
    </rPh>
    <rPh sb="27" eb="28">
      <t>イケ</t>
    </rPh>
    <rPh sb="28" eb="30">
      <t>セイビ</t>
    </rPh>
    <rPh sb="34" eb="36">
      <t>サンショウ</t>
    </rPh>
    <phoneticPr fontId="3"/>
  </si>
  <si>
    <t>表面遮水工安定計算の概要</t>
    <rPh sb="0" eb="2">
      <t>ヒョウメン</t>
    </rPh>
    <rPh sb="2" eb="3">
      <t>シャ</t>
    </rPh>
    <rPh sb="3" eb="5">
      <t>スイコウ</t>
    </rPh>
    <rPh sb="5" eb="7">
      <t>アンテイ</t>
    </rPh>
    <rPh sb="7" eb="9">
      <t>ケイサン</t>
    </rPh>
    <rPh sb="10" eb="12">
      <t>ガイヨウ</t>
    </rPh>
    <phoneticPr fontId="3"/>
  </si>
  <si>
    <t>覆土部(テーパー化）のすべり検討</t>
    <rPh sb="0" eb="1">
      <t>フク</t>
    </rPh>
    <rPh sb="1" eb="2">
      <t>ド</t>
    </rPh>
    <rPh sb="2" eb="3">
      <t>ブ</t>
    </rPh>
    <rPh sb="8" eb="9">
      <t>カ</t>
    </rPh>
    <rPh sb="14" eb="16">
      <t>ケントウ</t>
    </rPh>
    <phoneticPr fontId="3"/>
  </si>
  <si>
    <t>水位条件により本プログラムのSheet1とSheet2を選択する。小段の上下で表層局部ブロックすべりをチェックする。（文献１．Ｐ２０２）</t>
    <rPh sb="0" eb="2">
      <t>スイイ</t>
    </rPh>
    <rPh sb="2" eb="4">
      <t>ジョウケン</t>
    </rPh>
    <rPh sb="7" eb="8">
      <t>ホン</t>
    </rPh>
    <rPh sb="28" eb="30">
      <t>センタク</t>
    </rPh>
    <rPh sb="33" eb="35">
      <t>コダン</t>
    </rPh>
    <rPh sb="36" eb="38">
      <t>ウエシタ</t>
    </rPh>
    <rPh sb="39" eb="41">
      <t>ヒョウソウ</t>
    </rPh>
    <rPh sb="41" eb="43">
      <t>キョクブ</t>
    </rPh>
    <rPh sb="59" eb="61">
      <t>ブンケン</t>
    </rPh>
    <phoneticPr fontId="3"/>
  </si>
  <si>
    <t>地震時の検討も行った。（文献１．Ｐ２０８）</t>
    <rPh sb="0" eb="2">
      <t>ジシン</t>
    </rPh>
    <rPh sb="2" eb="3">
      <t>ジ</t>
    </rPh>
    <rPh sb="4" eb="6">
      <t>ケントウ</t>
    </rPh>
    <rPh sb="7" eb="8">
      <t>オコナ</t>
    </rPh>
    <rPh sb="12" eb="14">
      <t>ブンケン</t>
    </rPh>
    <phoneticPr fontId="3"/>
  </si>
  <si>
    <t>堤体本体部のすべり検討</t>
    <rPh sb="0" eb="1">
      <t>テイ</t>
    </rPh>
    <rPh sb="1" eb="2">
      <t>タイ</t>
    </rPh>
    <rPh sb="2" eb="3">
      <t>ホン</t>
    </rPh>
    <rPh sb="3" eb="4">
      <t>タイ</t>
    </rPh>
    <rPh sb="4" eb="5">
      <t>ブ</t>
    </rPh>
    <rPh sb="9" eb="11">
      <t>ケントウ</t>
    </rPh>
    <phoneticPr fontId="3"/>
  </si>
  <si>
    <t>表面遮水工の満水位では水圧がシートを介して下流側へすべり土塊を押し返すため本堤は貯水側に滑りにくい。</t>
    <rPh sb="0" eb="2">
      <t>ヒョウメン</t>
    </rPh>
    <rPh sb="2" eb="3">
      <t>シャ</t>
    </rPh>
    <rPh sb="3" eb="4">
      <t>スイ</t>
    </rPh>
    <rPh sb="4" eb="5">
      <t>コウ</t>
    </rPh>
    <rPh sb="6" eb="7">
      <t>マン</t>
    </rPh>
    <rPh sb="7" eb="9">
      <t>スイイ</t>
    </rPh>
    <rPh sb="11" eb="13">
      <t>スイアツ</t>
    </rPh>
    <rPh sb="18" eb="19">
      <t>カイ</t>
    </rPh>
    <rPh sb="21" eb="23">
      <t>カリュウ</t>
    </rPh>
    <rPh sb="23" eb="24">
      <t>ガワ</t>
    </rPh>
    <rPh sb="28" eb="30">
      <t>ドカイ</t>
    </rPh>
    <rPh sb="31" eb="32">
      <t>オ</t>
    </rPh>
    <rPh sb="33" eb="34">
      <t>カエ</t>
    </rPh>
    <rPh sb="37" eb="38">
      <t>ホン</t>
    </rPh>
    <rPh sb="38" eb="39">
      <t>テイ</t>
    </rPh>
    <rPh sb="40" eb="42">
      <t>チョスイ</t>
    </rPh>
    <rPh sb="42" eb="43">
      <t>ガワ</t>
    </rPh>
    <rPh sb="44" eb="45">
      <t>スベ</t>
    </rPh>
    <phoneticPr fontId="3"/>
  </si>
  <si>
    <t>むしろ、貯水位がゼロの時が危険となる。したがって「水位なしで地震１００％の時安全率</t>
    <rPh sb="4" eb="5">
      <t>チョ</t>
    </rPh>
    <rPh sb="5" eb="7">
      <t>スイイ</t>
    </rPh>
    <rPh sb="11" eb="12">
      <t>トキ</t>
    </rPh>
    <rPh sb="13" eb="15">
      <t>キケン</t>
    </rPh>
    <rPh sb="25" eb="27">
      <t>スイイ</t>
    </rPh>
    <rPh sb="30" eb="32">
      <t>ジシン</t>
    </rPh>
    <rPh sb="37" eb="38">
      <t>トキ</t>
    </rPh>
    <rPh sb="38" eb="40">
      <t>アンゼン</t>
    </rPh>
    <rPh sb="40" eb="41">
      <t>リツ</t>
    </rPh>
    <phoneticPr fontId="3"/>
  </si>
  <si>
    <t>１．２以上」あれば実用上さしつかえない場合が多い。計算は市販のプログラム（例えばSIP社「斜面安定計算」）で対応。</t>
    <rPh sb="3" eb="5">
      <t>イジョウ</t>
    </rPh>
    <rPh sb="9" eb="12">
      <t>ジツヨウジョウ</t>
    </rPh>
    <rPh sb="19" eb="21">
      <t>バアイ</t>
    </rPh>
    <rPh sb="22" eb="23">
      <t>オオ</t>
    </rPh>
    <rPh sb="25" eb="27">
      <t>ケイサン</t>
    </rPh>
    <rPh sb="28" eb="30">
      <t>シハン</t>
    </rPh>
    <rPh sb="37" eb="38">
      <t>タト</t>
    </rPh>
    <rPh sb="43" eb="44">
      <t>シャ</t>
    </rPh>
    <rPh sb="45" eb="47">
      <t>シャメン</t>
    </rPh>
    <rPh sb="47" eb="49">
      <t>アンテイ</t>
    </rPh>
    <rPh sb="49" eb="51">
      <t>ケイサン</t>
    </rPh>
    <rPh sb="54" eb="56">
      <t>タイオウ</t>
    </rPh>
    <phoneticPr fontId="3"/>
  </si>
  <si>
    <t>注意事項</t>
    <rPh sb="0" eb="2">
      <t>チュウイ</t>
    </rPh>
    <rPh sb="2" eb="4">
      <t>ジコウ</t>
    </rPh>
    <phoneticPr fontId="3"/>
  </si>
  <si>
    <t>土堰堤と表面遮水工の安定計算の大きな違いは、水位が高くなると完全遮水型では安全率が高くなり</t>
    <phoneticPr fontId="3"/>
  </si>
  <si>
    <t>土堰堤は危険になることである。震災後の淡路島の調査で満水のシートため池は被災が少なかったが</t>
    <rPh sb="15" eb="18">
      <t>シンサイゴ</t>
    </rPh>
    <rPh sb="26" eb="28">
      <t>マンスイ</t>
    </rPh>
    <rPh sb="34" eb="35">
      <t>イケ</t>
    </rPh>
    <rPh sb="36" eb="38">
      <t>ヒサイ</t>
    </rPh>
    <rPh sb="39" eb="40">
      <t>スク</t>
    </rPh>
    <phoneticPr fontId="3"/>
  </si>
  <si>
    <t>満水していた土堰堤は相当の被災がみられたことから推察される。但しシート工法では万一破断すると漏水が集中しシートが</t>
    <rPh sb="0" eb="2">
      <t>マンスイ</t>
    </rPh>
    <rPh sb="10" eb="12">
      <t>ソウトウ</t>
    </rPh>
    <rPh sb="24" eb="26">
      <t>スイサツ</t>
    </rPh>
    <rPh sb="30" eb="31">
      <t>タダ</t>
    </rPh>
    <rPh sb="35" eb="37">
      <t>コウホウ</t>
    </rPh>
    <rPh sb="39" eb="40">
      <t>マン</t>
    </rPh>
    <rPh sb="40" eb="41">
      <t>イチ</t>
    </rPh>
    <rPh sb="41" eb="43">
      <t>ハダン</t>
    </rPh>
    <rPh sb="46" eb="48">
      <t>ロウスイ</t>
    </rPh>
    <rPh sb="49" eb="51">
      <t>シュウチュウ</t>
    </rPh>
    <phoneticPr fontId="3"/>
  </si>
  <si>
    <t>浮くことがあり、被災を小さく抑えるため背面の空気抜き・ドレーン対策等のきめ細かな安全対策が重要となる。</t>
    <rPh sb="0" eb="1">
      <t>ウ</t>
    </rPh>
    <rPh sb="8" eb="10">
      <t>ヒサイ</t>
    </rPh>
    <rPh sb="11" eb="12">
      <t>チイ</t>
    </rPh>
    <rPh sb="14" eb="15">
      <t>オサ</t>
    </rPh>
    <rPh sb="19" eb="21">
      <t>ハイメン</t>
    </rPh>
    <rPh sb="22" eb="24">
      <t>クウキ</t>
    </rPh>
    <rPh sb="24" eb="25">
      <t>ヌ</t>
    </rPh>
    <rPh sb="31" eb="33">
      <t>タイサク</t>
    </rPh>
    <rPh sb="33" eb="34">
      <t>トウ</t>
    </rPh>
    <rPh sb="37" eb="38">
      <t>コマ</t>
    </rPh>
    <rPh sb="40" eb="42">
      <t>アンゼン</t>
    </rPh>
    <rPh sb="42" eb="44">
      <t>タイサク</t>
    </rPh>
    <rPh sb="45" eb="47">
      <t>ジュウヨウ</t>
    </rPh>
    <phoneticPr fontId="3"/>
  </si>
  <si>
    <t>ため池整備p49</t>
    <rPh sb="2" eb="3">
      <t>イケ</t>
    </rPh>
    <rPh sb="3" eb="5">
      <t>セイビ</t>
    </rPh>
    <phoneticPr fontId="3"/>
  </si>
  <si>
    <t>安定解析ケース</t>
    <rPh sb="0" eb="2">
      <t>アンテイ</t>
    </rPh>
    <rPh sb="2" eb="4">
      <t>カイセキ</t>
    </rPh>
    <phoneticPr fontId="3"/>
  </si>
  <si>
    <t>安全率</t>
    <rPh sb="0" eb="2">
      <t>アンゼン</t>
    </rPh>
    <rPh sb="2" eb="3">
      <t>リツ</t>
    </rPh>
    <phoneticPr fontId="3"/>
  </si>
  <si>
    <t>設計震度（％）</t>
    <rPh sb="0" eb="2">
      <t>セッケイ</t>
    </rPh>
    <rPh sb="2" eb="4">
      <t>シンド</t>
    </rPh>
    <phoneticPr fontId="3"/>
  </si>
  <si>
    <t>完成直後</t>
    <rPh sb="0" eb="2">
      <t>カンセイ</t>
    </rPh>
    <rPh sb="2" eb="4">
      <t>チョクゴ</t>
    </rPh>
    <phoneticPr fontId="3"/>
  </si>
  <si>
    <t>1.2以上</t>
    <rPh sb="3" eb="5">
      <t>イジョウ</t>
    </rPh>
    <phoneticPr fontId="3"/>
  </si>
  <si>
    <t>常時満水位</t>
    <rPh sb="0" eb="2">
      <t>ジョウジ</t>
    </rPh>
    <rPh sb="2" eb="3">
      <t>マン</t>
    </rPh>
    <rPh sb="3" eb="5">
      <t>スイイ</t>
    </rPh>
    <phoneticPr fontId="3"/>
  </si>
  <si>
    <t>設計洪水位</t>
    <rPh sb="0" eb="2">
      <t>セッケイ</t>
    </rPh>
    <rPh sb="2" eb="4">
      <t>コウズイ</t>
    </rPh>
    <rPh sb="4" eb="5">
      <t>グライ</t>
    </rPh>
    <phoneticPr fontId="3"/>
  </si>
  <si>
    <t>水位急降下</t>
    <rPh sb="0" eb="2">
      <t>スイイ</t>
    </rPh>
    <rPh sb="2" eb="5">
      <t>キュウコウカ</t>
    </rPh>
    <phoneticPr fontId="3"/>
  </si>
  <si>
    <t>１－２．参考文献</t>
    <rPh sb="4" eb="6">
      <t>サンコウ</t>
    </rPh>
    <rPh sb="6" eb="8">
      <t>ブンケン</t>
    </rPh>
    <phoneticPr fontId="3"/>
  </si>
  <si>
    <t>１．廃棄物処分場の最終カバー</t>
    <rPh sb="2" eb="3">
      <t>ハイ</t>
    </rPh>
    <rPh sb="3" eb="4">
      <t>ス</t>
    </rPh>
    <rPh sb="4" eb="5">
      <t>ブツ</t>
    </rPh>
    <rPh sb="5" eb="7">
      <t>ショブン</t>
    </rPh>
    <rPh sb="7" eb="8">
      <t>ジョウ</t>
    </rPh>
    <rPh sb="9" eb="11">
      <t>サイシュウ</t>
    </rPh>
    <phoneticPr fontId="3"/>
  </si>
  <si>
    <t>E.Daniel他著　勝見･近藤共訳　技報堂</t>
    <rPh sb="8" eb="9">
      <t>ホカ</t>
    </rPh>
    <rPh sb="9" eb="10">
      <t>チョ</t>
    </rPh>
    <rPh sb="11" eb="12">
      <t>カツ</t>
    </rPh>
    <rPh sb="12" eb="13">
      <t>ミ</t>
    </rPh>
    <rPh sb="14" eb="16">
      <t>コンドウ</t>
    </rPh>
    <rPh sb="16" eb="17">
      <t>キョウ</t>
    </rPh>
    <rPh sb="17" eb="18">
      <t>ヤク</t>
    </rPh>
    <rPh sb="19" eb="20">
      <t>ギ</t>
    </rPh>
    <rPh sb="20" eb="21">
      <t>ホウ</t>
    </rPh>
    <rPh sb="21" eb="22">
      <t>ドウ</t>
    </rPh>
    <phoneticPr fontId="3"/>
  </si>
  <si>
    <t>２．ガンドシールデザインマニュアル</t>
    <phoneticPr fontId="3"/>
  </si>
  <si>
    <t>E.Daniel他著　近藤訳　　　　　　技報堂</t>
    <rPh sb="8" eb="9">
      <t>ホカ</t>
    </rPh>
    <rPh sb="9" eb="10">
      <t>チョ</t>
    </rPh>
    <rPh sb="11" eb="13">
      <t>コンドウ</t>
    </rPh>
    <rPh sb="13" eb="14">
      <t>ヤク</t>
    </rPh>
    <rPh sb="20" eb="21">
      <t>ギ</t>
    </rPh>
    <rPh sb="21" eb="22">
      <t>ホウ</t>
    </rPh>
    <rPh sb="22" eb="23">
      <t>ドウ</t>
    </rPh>
    <phoneticPr fontId="3"/>
  </si>
  <si>
    <t xml:space="preserve">３．土地改良事業設計指針　「ため池整備」 </t>
    <rPh sb="2" eb="4">
      <t>トチ</t>
    </rPh>
    <rPh sb="4" eb="6">
      <t>カイリョウ</t>
    </rPh>
    <rPh sb="6" eb="8">
      <t>ジギョウ</t>
    </rPh>
    <rPh sb="8" eb="10">
      <t>セッケイ</t>
    </rPh>
    <rPh sb="10" eb="12">
      <t>シシン</t>
    </rPh>
    <rPh sb="16" eb="17">
      <t>イケ</t>
    </rPh>
    <rPh sb="17" eb="19">
      <t>セイビ</t>
    </rPh>
    <phoneticPr fontId="3"/>
  </si>
  <si>
    <t>（社）農業土木学会 平成18年2月</t>
    <rPh sb="1" eb="2">
      <t>シャ</t>
    </rPh>
    <rPh sb="3" eb="5">
      <t>ノウギョウ</t>
    </rPh>
    <rPh sb="5" eb="7">
      <t>ドボク</t>
    </rPh>
    <rPh sb="7" eb="9">
      <t>ガッカイ</t>
    </rPh>
    <rPh sb="10" eb="12">
      <t>ヘイセイ</t>
    </rPh>
    <rPh sb="14" eb="15">
      <t>ネン</t>
    </rPh>
    <rPh sb="16" eb="17">
      <t>ガツ</t>
    </rPh>
    <phoneticPr fontId="3"/>
  </si>
  <si>
    <t>4土地改良事業標準設計図面集「擁壁工」</t>
    <rPh sb="1" eb="3">
      <t>トチ</t>
    </rPh>
    <rPh sb="3" eb="5">
      <t>カイリョウ</t>
    </rPh>
    <rPh sb="5" eb="7">
      <t>ジギョウ</t>
    </rPh>
    <rPh sb="7" eb="9">
      <t>ヒョウジュン</t>
    </rPh>
    <rPh sb="9" eb="11">
      <t>セッケイ</t>
    </rPh>
    <rPh sb="11" eb="13">
      <t>ズメン</t>
    </rPh>
    <rPh sb="13" eb="14">
      <t>シュウ</t>
    </rPh>
    <rPh sb="15" eb="16">
      <t>ヨウ</t>
    </rPh>
    <rPh sb="16" eb="17">
      <t>ヘキ</t>
    </rPh>
    <rPh sb="17" eb="18">
      <t>コウ</t>
    </rPh>
    <phoneticPr fontId="3"/>
  </si>
  <si>
    <t>農水省　平成11年3月</t>
    <rPh sb="0" eb="1">
      <t>ノウ</t>
    </rPh>
    <rPh sb="1" eb="2">
      <t>スイ</t>
    </rPh>
    <rPh sb="2" eb="3">
      <t>ショウ</t>
    </rPh>
    <phoneticPr fontId="3"/>
  </si>
  <si>
    <t>GM(ジオメンブレン）の斜面すべり検討</t>
    <rPh sb="12" eb="14">
      <t>シャメン</t>
    </rPh>
    <rPh sb="17" eb="19">
      <t>ケントウ</t>
    </rPh>
    <phoneticPr fontId="3"/>
  </si>
  <si>
    <t>　　　　　　（フローチャート）</t>
    <phoneticPr fontId="3"/>
  </si>
  <si>
    <t>YES</t>
    <phoneticPr fontId="3"/>
  </si>
  <si>
    <t>NO</t>
    <phoneticPr fontId="3"/>
  </si>
  <si>
    <t>但しh'は受働楔の高さでHwは池底からの水位である。Ｈｗ＝ｈ’の時Fs1=Fs2である。</t>
    <rPh sb="0" eb="1">
      <t>タダ</t>
    </rPh>
    <rPh sb="5" eb="6">
      <t>ウケ</t>
    </rPh>
    <rPh sb="6" eb="7">
      <t>ハタラキ</t>
    </rPh>
    <rPh sb="7" eb="8">
      <t>クサビ</t>
    </rPh>
    <rPh sb="9" eb="10">
      <t>タカ</t>
    </rPh>
    <rPh sb="15" eb="17">
      <t>イケゾコ</t>
    </rPh>
    <rPh sb="20" eb="22">
      <t>スイイ</t>
    </rPh>
    <rPh sb="32" eb="33">
      <t>トキ</t>
    </rPh>
    <phoneticPr fontId="3"/>
  </si>
  <si>
    <t>判別式</t>
    <rPh sb="0" eb="2">
      <t>ハンベツ</t>
    </rPh>
    <rPh sb="2" eb="3">
      <t>シキ</t>
    </rPh>
    <phoneticPr fontId="3"/>
  </si>
  <si>
    <t>出展；廃棄物処分場の最終カバー　勝見･近藤共訳 　技報堂</t>
    <rPh sb="0" eb="2">
      <t>シュッテン</t>
    </rPh>
    <rPh sb="3" eb="6">
      <t>ハイキブツ</t>
    </rPh>
    <rPh sb="6" eb="9">
      <t>ショブンジョウ</t>
    </rPh>
    <rPh sb="10" eb="12">
      <t>サイシュウ</t>
    </rPh>
    <rPh sb="16" eb="17">
      <t>カツ</t>
    </rPh>
    <rPh sb="17" eb="18">
      <t>ミ</t>
    </rPh>
    <rPh sb="19" eb="21">
      <t>コンドウ</t>
    </rPh>
    <rPh sb="21" eb="22">
      <t>キョウ</t>
    </rPh>
    <rPh sb="22" eb="23">
      <t>ヤク</t>
    </rPh>
    <rPh sb="25" eb="26">
      <t>ギ</t>
    </rPh>
    <rPh sb="26" eb="27">
      <t>ホウ</t>
    </rPh>
    <rPh sb="27" eb="28">
      <t>ドウ</t>
    </rPh>
    <phoneticPr fontId="3"/>
  </si>
  <si>
    <t>H</t>
    <phoneticPr fontId="3"/>
  </si>
  <si>
    <t xml:space="preserve">斜面先から測った斜面の鉛直高さ </t>
    <rPh sb="0" eb="2">
      <t>シャメン</t>
    </rPh>
    <rPh sb="2" eb="3">
      <t>サキ</t>
    </rPh>
    <rPh sb="5" eb="6">
      <t>ハカ</t>
    </rPh>
    <rPh sb="8" eb="10">
      <t>シャメン</t>
    </rPh>
    <rPh sb="11" eb="13">
      <t>エンチョク</t>
    </rPh>
    <rPh sb="13" eb="14">
      <t>タカ</t>
    </rPh>
    <phoneticPr fontId="3"/>
  </si>
  <si>
    <t>Hw</t>
    <phoneticPr fontId="3"/>
  </si>
  <si>
    <t xml:space="preserve">斜面先から測った自由水面の鉛直高さ </t>
    <rPh sb="0" eb="2">
      <t>シャメン</t>
    </rPh>
    <rPh sb="2" eb="3">
      <t>サキ</t>
    </rPh>
    <rPh sb="5" eb="6">
      <t>ハカ</t>
    </rPh>
    <rPh sb="8" eb="10">
      <t>ジユウ</t>
    </rPh>
    <rPh sb="10" eb="12">
      <t>スイメン</t>
    </rPh>
    <rPh sb="13" eb="15">
      <t>エンチョク</t>
    </rPh>
    <rPh sb="15" eb="16">
      <t>タカ</t>
    </rPh>
    <phoneticPr fontId="3"/>
  </si>
  <si>
    <t>1*10-6以上の値を入力</t>
    <rPh sb="6" eb="8">
      <t>イジョウ</t>
    </rPh>
    <rPh sb="9" eb="10">
      <t>アタイ</t>
    </rPh>
    <rPh sb="11" eb="13">
      <t>ニュウリョク</t>
    </rPh>
    <phoneticPr fontId="3"/>
  </si>
  <si>
    <t>ｈc</t>
    <phoneticPr fontId="3"/>
  </si>
  <si>
    <t>斜面頂における覆土の厚さ</t>
    <rPh sb="0" eb="2">
      <t>シャメン</t>
    </rPh>
    <rPh sb="2" eb="3">
      <t>イタダキ</t>
    </rPh>
    <rPh sb="7" eb="8">
      <t>フク</t>
    </rPh>
    <rPh sb="8" eb="9">
      <t>ド</t>
    </rPh>
    <rPh sb="10" eb="11">
      <t>アツ</t>
    </rPh>
    <phoneticPr fontId="3"/>
  </si>
  <si>
    <t>β</t>
    <phoneticPr fontId="3"/>
  </si>
  <si>
    <t>ジオメンブレン下の土の傾斜角</t>
    <rPh sb="7" eb="8">
      <t>シタ</t>
    </rPh>
    <rPh sb="9" eb="10">
      <t>ツチ</t>
    </rPh>
    <rPh sb="11" eb="13">
      <t>ケイシャ</t>
    </rPh>
    <rPh sb="13" eb="14">
      <t>カク</t>
    </rPh>
    <phoneticPr fontId="3"/>
  </si>
  <si>
    <t>仕上がった覆土の傾斜角</t>
    <rPh sb="0" eb="2">
      <t>シア</t>
    </rPh>
    <rPh sb="5" eb="6">
      <t>フク</t>
    </rPh>
    <rPh sb="6" eb="7">
      <t>ド</t>
    </rPh>
    <rPh sb="8" eb="10">
      <t>ケイシャ</t>
    </rPh>
    <rPh sb="10" eb="11">
      <t>カク</t>
    </rPh>
    <phoneticPr fontId="3"/>
  </si>
  <si>
    <t>ｈ´</t>
    <phoneticPr fontId="3"/>
  </si>
  <si>
    <t>　　図　　＝H（１－tanω/tanβ）＋（tanω/sinβ）ｈc</t>
    <rPh sb="2" eb="3">
      <t>ズ</t>
    </rPh>
    <phoneticPr fontId="3"/>
  </si>
  <si>
    <t>n2</t>
    <phoneticPr fontId="3"/>
  </si>
  <si>
    <t>ジオメンブレン下の土の勾配</t>
    <rPh sb="7" eb="8">
      <t>シタ</t>
    </rPh>
    <rPh sb="9" eb="10">
      <t>ツチ</t>
    </rPh>
    <rPh sb="11" eb="13">
      <t>コウバイ</t>
    </rPh>
    <phoneticPr fontId="3"/>
  </si>
  <si>
    <t>n1</t>
    <phoneticPr fontId="3"/>
  </si>
  <si>
    <t>覆土の前法勾配</t>
    <rPh sb="0" eb="1">
      <t>フク</t>
    </rPh>
    <rPh sb="1" eb="2">
      <t>ド</t>
    </rPh>
    <rPh sb="3" eb="4">
      <t>マエ</t>
    </rPh>
    <rPh sb="4" eb="5">
      <t>ノリ</t>
    </rPh>
    <rPh sb="5" eb="7">
      <t>コウバイ</t>
    </rPh>
    <phoneticPr fontId="3"/>
  </si>
  <si>
    <t>判別</t>
    <rPh sb="0" eb="2">
      <t>ハンベツ</t>
    </rPh>
    <phoneticPr fontId="3"/>
  </si>
  <si>
    <t>Hw-h'</t>
    <phoneticPr fontId="3"/>
  </si>
  <si>
    <t xml:space="preserve"> Hw-h'≧０の時Ｓｈｅｅｔ１,それ以外Sheet2へ</t>
    <rPh sb="9" eb="10">
      <t>トキ</t>
    </rPh>
    <rPh sb="19" eb="21">
      <t>イガイ</t>
    </rPh>
    <phoneticPr fontId="3"/>
  </si>
  <si>
    <t>安全率の計算</t>
    <rPh sb="0" eb="2">
      <t>アンゼン</t>
    </rPh>
    <rPh sb="2" eb="3">
      <t>リツ</t>
    </rPh>
    <rPh sb="4" eb="6">
      <t>ケイサン</t>
    </rPh>
    <phoneticPr fontId="3"/>
  </si>
  <si>
    <t>求める安全率は上記判別式で指定されたSheetの値を採用すること。</t>
    <rPh sb="0" eb="1">
      <t>モト</t>
    </rPh>
    <rPh sb="3" eb="5">
      <t>アンゼン</t>
    </rPh>
    <rPh sb="5" eb="6">
      <t>リツ</t>
    </rPh>
    <rPh sb="7" eb="8">
      <t>ウエ</t>
    </rPh>
    <rPh sb="8" eb="9">
      <t>キ</t>
    </rPh>
    <rPh sb="9" eb="11">
      <t>ハンベツ</t>
    </rPh>
    <rPh sb="11" eb="12">
      <t>シキ</t>
    </rPh>
    <rPh sb="13" eb="15">
      <t>シテイ</t>
    </rPh>
    <rPh sb="24" eb="25">
      <t>アタイ</t>
    </rPh>
    <rPh sb="26" eb="28">
      <t>サイヨウ</t>
    </rPh>
    <phoneticPr fontId="3"/>
  </si>
  <si>
    <t>Fs</t>
    <phoneticPr fontId="3"/>
  </si>
  <si>
    <t>&gt;1.5</t>
    <phoneticPr fontId="3"/>
  </si>
  <si>
    <t>常時</t>
    <rPh sb="0" eb="2">
      <t>ジョウジ</t>
    </rPh>
    <phoneticPr fontId="3"/>
  </si>
  <si>
    <t>文献１の覆土の計算はもたれ擁壁の考えに近く、剛体として扱っている。</t>
    <rPh sb="0" eb="2">
      <t>ブンケン</t>
    </rPh>
    <rPh sb="4" eb="5">
      <t>フク</t>
    </rPh>
    <rPh sb="5" eb="6">
      <t>ド</t>
    </rPh>
    <rPh sb="7" eb="9">
      <t>ケイサン</t>
    </rPh>
    <rPh sb="13" eb="14">
      <t>ヨウ</t>
    </rPh>
    <rPh sb="14" eb="15">
      <t>ヘキ</t>
    </rPh>
    <rPh sb="16" eb="17">
      <t>カンガ</t>
    </rPh>
    <rPh sb="19" eb="20">
      <t>チカ</t>
    </rPh>
    <rPh sb="22" eb="24">
      <t>ゴウタイ</t>
    </rPh>
    <rPh sb="27" eb="28">
      <t>アツカ</t>
    </rPh>
    <phoneticPr fontId="3"/>
  </si>
  <si>
    <t>一般的に壁高Ｈ=8mを越えると地震時の検討をするが、Ｈが8m以下なら地震の検討を省略している。(文献４．P34) 　</t>
    <rPh sb="0" eb="3">
      <t>イッパンテキ</t>
    </rPh>
    <rPh sb="4" eb="5">
      <t>ヘキ</t>
    </rPh>
    <rPh sb="5" eb="6">
      <t>タカ</t>
    </rPh>
    <rPh sb="11" eb="12">
      <t>コ</t>
    </rPh>
    <rPh sb="15" eb="18">
      <t>ジシンジ</t>
    </rPh>
    <rPh sb="19" eb="21">
      <t>ケントウ</t>
    </rPh>
    <rPh sb="30" eb="32">
      <t>イカ</t>
    </rPh>
    <rPh sb="34" eb="36">
      <t>ジシン</t>
    </rPh>
    <rPh sb="37" eb="39">
      <t>ケントウ</t>
    </rPh>
    <rPh sb="40" eb="42">
      <t>ショウリャク</t>
    </rPh>
    <rPh sb="48" eb="50">
      <t>ブンケン</t>
    </rPh>
    <phoneticPr fontId="3"/>
  </si>
  <si>
    <t>但しこのときＦｓ＞１．５（常時）、Ｆｓ＞１．２（地震時）である。　</t>
    <rPh sb="0" eb="1">
      <t>タダ</t>
    </rPh>
    <rPh sb="13" eb="15">
      <t>ジョウジ</t>
    </rPh>
    <rPh sb="24" eb="26">
      <t>ジシン</t>
    </rPh>
    <rPh sb="26" eb="27">
      <t>ジ</t>
    </rPh>
    <phoneticPr fontId="3"/>
  </si>
  <si>
    <t>層厚をテーパー化した覆土の斜面</t>
    <rPh sb="0" eb="1">
      <t>ソウ</t>
    </rPh>
    <rPh sb="1" eb="2">
      <t>アツシ</t>
    </rPh>
    <rPh sb="7" eb="8">
      <t>カ</t>
    </rPh>
    <rPh sb="10" eb="11">
      <t>フク</t>
    </rPh>
    <rPh sb="11" eb="12">
      <t>ド</t>
    </rPh>
    <rPh sb="13" eb="14">
      <t>シャ</t>
    </rPh>
    <rPh sb="14" eb="15">
      <t>メン</t>
    </rPh>
    <phoneticPr fontId="3"/>
  </si>
  <si>
    <t>Case1</t>
    <phoneticPr fontId="3"/>
  </si>
  <si>
    <t>Ｈｗ≧h'の時</t>
    <rPh sb="6" eb="7">
      <t>トキ</t>
    </rPh>
    <phoneticPr fontId="3"/>
  </si>
  <si>
    <t>㈱〇〇環境地盤グループ</t>
    <rPh sb="3" eb="7">
      <t>カンキョウジバン</t>
    </rPh>
    <phoneticPr fontId="3"/>
  </si>
  <si>
    <t>ＷA</t>
    <phoneticPr fontId="3"/>
  </si>
  <si>
    <t>主働楔の全重量</t>
    <rPh sb="0" eb="3">
      <t>シュドウセツ</t>
    </rPh>
    <rPh sb="4" eb="5">
      <t>ゼン</t>
    </rPh>
    <rPh sb="5" eb="7">
      <t>ジュウリョウ</t>
    </rPh>
    <phoneticPr fontId="3"/>
  </si>
  <si>
    <t>KN/m</t>
    <phoneticPr fontId="3"/>
  </si>
  <si>
    <t>Ｗp</t>
    <phoneticPr fontId="3"/>
  </si>
  <si>
    <t>受働楔の全重量</t>
    <rPh sb="0" eb="3">
      <t>ジュドウセツ</t>
    </rPh>
    <rPh sb="4" eb="5">
      <t>ゼン</t>
    </rPh>
    <rPh sb="5" eb="7">
      <t>ジュウリョウ</t>
    </rPh>
    <phoneticPr fontId="3"/>
  </si>
  <si>
    <t>ＮA</t>
    <phoneticPr fontId="3"/>
  </si>
  <si>
    <t>主働楔の破壊面に垂直な有効力</t>
    <rPh sb="0" eb="3">
      <t>シュドウセツ</t>
    </rPh>
    <rPh sb="4" eb="6">
      <t>ハカイ</t>
    </rPh>
    <rPh sb="6" eb="7">
      <t>メン</t>
    </rPh>
    <rPh sb="8" eb="10">
      <t>スイチョク</t>
    </rPh>
    <rPh sb="11" eb="12">
      <t>ユウ</t>
    </rPh>
    <rPh sb="12" eb="14">
      <t>コウリョク</t>
    </rPh>
    <phoneticPr fontId="3"/>
  </si>
  <si>
    <t>γsat'd</t>
    <phoneticPr fontId="3"/>
  </si>
  <si>
    <t>覆土の飽和単位体積重量</t>
    <rPh sb="0" eb="1">
      <t>フク</t>
    </rPh>
    <rPh sb="1" eb="2">
      <t>ド</t>
    </rPh>
    <rPh sb="3" eb="5">
      <t>ホウワ</t>
    </rPh>
    <rPh sb="5" eb="7">
      <t>タンイ</t>
    </rPh>
    <rPh sb="7" eb="9">
      <t>タイセキ</t>
    </rPh>
    <rPh sb="9" eb="11">
      <t>ジュウリョウ</t>
    </rPh>
    <phoneticPr fontId="3"/>
  </si>
  <si>
    <t>KＮ/ｍ３</t>
    <phoneticPr fontId="3"/>
  </si>
  <si>
    <t>γdry</t>
    <phoneticPr fontId="3"/>
  </si>
  <si>
    <t>覆土の乾燥単位体積重量</t>
    <rPh sb="0" eb="1">
      <t>フク</t>
    </rPh>
    <rPh sb="1" eb="2">
      <t>ド</t>
    </rPh>
    <rPh sb="3" eb="5">
      <t>カンソウ</t>
    </rPh>
    <rPh sb="5" eb="7">
      <t>タンイ</t>
    </rPh>
    <rPh sb="7" eb="9">
      <t>タイセキ</t>
    </rPh>
    <rPh sb="9" eb="11">
      <t>ジュウリョウ</t>
    </rPh>
    <phoneticPr fontId="3"/>
  </si>
  <si>
    <t>γw</t>
    <phoneticPr fontId="3"/>
  </si>
  <si>
    <t>水の単位体積重量</t>
    <rPh sb="0" eb="1">
      <t>ミズ</t>
    </rPh>
    <rPh sb="2" eb="4">
      <t>タンイ</t>
    </rPh>
    <rPh sb="4" eb="6">
      <t>タイセキ</t>
    </rPh>
    <rPh sb="6" eb="8">
      <t>ジュウリョウ</t>
    </rPh>
    <phoneticPr fontId="3"/>
  </si>
  <si>
    <t>Uh</t>
    <phoneticPr fontId="3"/>
  </si>
  <si>
    <t>両楔に作用する水平方向の間隙水圧の合力</t>
    <rPh sb="0" eb="1">
      <t>リョウ</t>
    </rPh>
    <rPh sb="1" eb="2">
      <t>クサビ</t>
    </rPh>
    <rPh sb="3" eb="5">
      <t>サヨウ</t>
    </rPh>
    <rPh sb="7" eb="9">
      <t>スイヘイ</t>
    </rPh>
    <rPh sb="9" eb="11">
      <t>ホウコウ</t>
    </rPh>
    <rPh sb="12" eb="14">
      <t>カンゲキ</t>
    </rPh>
    <rPh sb="14" eb="16">
      <t>スイアツ</t>
    </rPh>
    <rPh sb="17" eb="19">
      <t>ゴウリョク</t>
    </rPh>
    <phoneticPr fontId="3"/>
  </si>
  <si>
    <t>KＮ/m</t>
    <phoneticPr fontId="3"/>
  </si>
  <si>
    <t>Un</t>
    <phoneticPr fontId="3"/>
  </si>
  <si>
    <t>斜面に垂直に作用する間隙水圧の合力</t>
    <rPh sb="0" eb="2">
      <t>シャメン</t>
    </rPh>
    <rPh sb="3" eb="5">
      <t>スイチョク</t>
    </rPh>
    <rPh sb="6" eb="8">
      <t>サヨウ</t>
    </rPh>
    <rPh sb="10" eb="12">
      <t>カンゲキ</t>
    </rPh>
    <rPh sb="12" eb="14">
      <t>スイアツ</t>
    </rPh>
    <rPh sb="15" eb="17">
      <t>ゴウリョク</t>
    </rPh>
    <phoneticPr fontId="3"/>
  </si>
  <si>
    <t>Uv</t>
    <phoneticPr fontId="3"/>
  </si>
  <si>
    <t>受動楔に作用する鉛直方向の間隙水圧の合力</t>
    <rPh sb="0" eb="2">
      <t>ジュドウ</t>
    </rPh>
    <rPh sb="2" eb="3">
      <t>クサビ</t>
    </rPh>
    <rPh sb="4" eb="6">
      <t>サヨウ</t>
    </rPh>
    <rPh sb="8" eb="10">
      <t>エンチョク</t>
    </rPh>
    <rPh sb="10" eb="12">
      <t>ホウコウ</t>
    </rPh>
    <rPh sb="13" eb="15">
      <t>カンゲキ</t>
    </rPh>
    <rPh sb="15" eb="17">
      <t>スイアツ</t>
    </rPh>
    <rPh sb="18" eb="20">
      <t>ゴウリョク</t>
    </rPh>
    <phoneticPr fontId="3"/>
  </si>
  <si>
    <t>Ｄ</t>
    <phoneticPr fontId="3"/>
  </si>
  <si>
    <t>埋め立て処分場底部における覆土の厚さ</t>
    <rPh sb="0" eb="1">
      <t>ウ</t>
    </rPh>
    <rPh sb="2" eb="3">
      <t>タ</t>
    </rPh>
    <rPh sb="4" eb="7">
      <t>ショブンジョウ</t>
    </rPh>
    <rPh sb="7" eb="9">
      <t>テイブ</t>
    </rPh>
    <rPh sb="13" eb="14">
      <t>フク</t>
    </rPh>
    <rPh sb="14" eb="15">
      <t>ド</t>
    </rPh>
    <rPh sb="16" eb="17">
      <t>アツ</t>
    </rPh>
    <phoneticPr fontId="3"/>
  </si>
  <si>
    <t>Ｌ</t>
    <phoneticPr fontId="3"/>
  </si>
  <si>
    <t>ジオメンブレンに沿って測定される斜面長</t>
    <rPh sb="8" eb="9">
      <t>ソ</t>
    </rPh>
    <rPh sb="11" eb="13">
      <t>ソクテイ</t>
    </rPh>
    <rPh sb="16" eb="18">
      <t>シャメン</t>
    </rPh>
    <rPh sb="18" eb="19">
      <t>チョウ</t>
    </rPh>
    <phoneticPr fontId="3"/>
  </si>
  <si>
    <r>
      <t>Ｃ</t>
    </r>
    <r>
      <rPr>
        <vertAlign val="subscript"/>
        <sz val="11"/>
        <rFont val="ＭＳ Ｐゴシック"/>
        <family val="3"/>
        <charset val="128"/>
      </rPr>
      <t>１</t>
    </r>
    <phoneticPr fontId="3"/>
  </si>
  <si>
    <t>　　図　　＝sin（βーω）H/(sinβsinω)</t>
    <rPh sb="2" eb="3">
      <t>ズ</t>
    </rPh>
    <phoneticPr fontId="3"/>
  </si>
  <si>
    <r>
      <t>Ｃ</t>
    </r>
    <r>
      <rPr>
        <vertAlign val="subscript"/>
        <sz val="11"/>
        <rFont val="ＭＳ Ｐゴシック"/>
        <family val="3"/>
        <charset val="128"/>
      </rPr>
      <t>２</t>
    </r>
    <phoneticPr fontId="3"/>
  </si>
  <si>
    <t>　　図　　＝ｈc/sinβ</t>
    <rPh sb="2" eb="3">
      <t>ズ</t>
    </rPh>
    <phoneticPr fontId="3"/>
  </si>
  <si>
    <r>
      <t>Ｃ</t>
    </r>
    <r>
      <rPr>
        <vertAlign val="subscript"/>
        <sz val="11"/>
        <rFont val="ＭＳ Ｐゴシック"/>
        <family val="3"/>
        <charset val="128"/>
      </rPr>
      <t>３</t>
    </r>
    <phoneticPr fontId="3"/>
  </si>
  <si>
    <t>　　図　　＝ｈc/sinβ＋sin（βーω）H/(sinβsinω)</t>
    <rPh sb="2" eb="3">
      <t>ズ</t>
    </rPh>
    <phoneticPr fontId="3"/>
  </si>
  <si>
    <r>
      <t>Ｃ</t>
    </r>
    <r>
      <rPr>
        <vertAlign val="subscript"/>
        <sz val="11"/>
        <rFont val="ＭＳ Ｐゴシック"/>
        <family val="3"/>
        <charset val="128"/>
      </rPr>
      <t>４</t>
    </r>
    <phoneticPr fontId="3"/>
  </si>
  <si>
    <t>　　図　　＝Ｃ２</t>
    <rPh sb="2" eb="3">
      <t>ズ</t>
    </rPh>
    <phoneticPr fontId="3"/>
  </si>
  <si>
    <r>
      <t>Ｃ</t>
    </r>
    <r>
      <rPr>
        <vertAlign val="subscript"/>
        <sz val="11"/>
        <rFont val="ＭＳ Ｐゴシック"/>
        <family val="3"/>
        <charset val="128"/>
      </rPr>
      <t>５</t>
    </r>
    <phoneticPr fontId="3"/>
  </si>
  <si>
    <t>　　図　　＝ｈc/sinβ＋（H－Hw）（cotωーcotβ）　　　</t>
    <rPh sb="2" eb="3">
      <t>ズ</t>
    </rPh>
    <phoneticPr fontId="3"/>
  </si>
  <si>
    <t>Ｃ6</t>
    <phoneticPr fontId="3"/>
  </si>
  <si>
    <t>　　図　　＝(L*tan(β-ω）＋hc)*sinβ</t>
    <rPh sb="2" eb="3">
      <t>ズ</t>
    </rPh>
    <phoneticPr fontId="3"/>
  </si>
  <si>
    <t>Ｃ7</t>
    <phoneticPr fontId="3"/>
  </si>
  <si>
    <t>　　図　　＝C2+D/tanβ</t>
    <rPh sb="2" eb="3">
      <t>ズ</t>
    </rPh>
    <phoneticPr fontId="3"/>
  </si>
  <si>
    <t>Ｃ8</t>
    <phoneticPr fontId="3"/>
  </si>
  <si>
    <t>　　図　　＝C3-C6-D/tanβ</t>
    <rPh sb="2" eb="3">
      <t>ズ</t>
    </rPh>
    <phoneticPr fontId="3"/>
  </si>
  <si>
    <t>φ</t>
    <phoneticPr fontId="3"/>
  </si>
  <si>
    <t>覆土の摩擦角</t>
    <rPh sb="0" eb="1">
      <t>フク</t>
    </rPh>
    <rPh sb="1" eb="2">
      <t>ド</t>
    </rPh>
    <rPh sb="3" eb="5">
      <t>マサツ</t>
    </rPh>
    <rPh sb="5" eb="6">
      <t>カク</t>
    </rPh>
    <phoneticPr fontId="3"/>
  </si>
  <si>
    <t>δ</t>
    <phoneticPr fontId="3"/>
  </si>
  <si>
    <t>覆土とジオメンブレン間の接触面摩擦角</t>
    <rPh sb="0" eb="1">
      <t>フク</t>
    </rPh>
    <rPh sb="1" eb="2">
      <t>ド</t>
    </rPh>
    <rPh sb="10" eb="11">
      <t>カン</t>
    </rPh>
    <rPh sb="12" eb="15">
      <t>セッショクメン</t>
    </rPh>
    <rPh sb="15" eb="17">
      <t>マサツ</t>
    </rPh>
    <rPh sb="17" eb="18">
      <t>カク</t>
    </rPh>
    <phoneticPr fontId="3"/>
  </si>
  <si>
    <t>Ｃa</t>
    <phoneticPr fontId="3"/>
  </si>
  <si>
    <t>主働楔の覆土とジオメンブレン間の付着力</t>
    <rPh sb="0" eb="3">
      <t>シュドウセツ</t>
    </rPh>
    <rPh sb="4" eb="5">
      <t>フク</t>
    </rPh>
    <rPh sb="5" eb="6">
      <t>ド</t>
    </rPh>
    <rPh sb="14" eb="15">
      <t>カン</t>
    </rPh>
    <rPh sb="16" eb="19">
      <t>フチャクリョク</t>
    </rPh>
    <phoneticPr fontId="3"/>
  </si>
  <si>
    <t>ca</t>
    <phoneticPr fontId="3"/>
  </si>
  <si>
    <t>主働楔の覆土とジオメンブレン間の付着応力</t>
    <rPh sb="0" eb="3">
      <t>シュドウセツ</t>
    </rPh>
    <rPh sb="4" eb="5">
      <t>フク</t>
    </rPh>
    <rPh sb="5" eb="6">
      <t>ド</t>
    </rPh>
    <rPh sb="14" eb="15">
      <t>カン</t>
    </rPh>
    <rPh sb="16" eb="18">
      <t>フチャク</t>
    </rPh>
    <rPh sb="18" eb="20">
      <t>オウリョク</t>
    </rPh>
    <phoneticPr fontId="3"/>
  </si>
  <si>
    <t>KN/ｍ2</t>
    <phoneticPr fontId="3"/>
  </si>
  <si>
    <t>受働楔の破壊面に沿った粘着力</t>
    <rPh sb="0" eb="3">
      <t>ジュドウセツ</t>
    </rPh>
    <rPh sb="4" eb="6">
      <t>ハカイ</t>
    </rPh>
    <rPh sb="6" eb="7">
      <t>メン</t>
    </rPh>
    <rPh sb="8" eb="9">
      <t>ソ</t>
    </rPh>
    <rPh sb="11" eb="14">
      <t>ネンチャクリョク</t>
    </rPh>
    <phoneticPr fontId="3"/>
  </si>
  <si>
    <t>覆土の粘着力</t>
    <rPh sb="0" eb="1">
      <t>フク</t>
    </rPh>
    <rPh sb="1" eb="2">
      <t>ド</t>
    </rPh>
    <rPh sb="3" eb="6">
      <t>ネンチャクリョク</t>
    </rPh>
    <phoneticPr fontId="3"/>
  </si>
  <si>
    <t>覆土のジオメンブレン上のすべりに対する安全率  &gt;1.5</t>
    <rPh sb="0" eb="1">
      <t>フク</t>
    </rPh>
    <rPh sb="1" eb="2">
      <t>ド</t>
    </rPh>
    <rPh sb="10" eb="11">
      <t>ジョウ</t>
    </rPh>
    <rPh sb="16" eb="17">
      <t>タイ</t>
    </rPh>
    <rPh sb="19" eb="21">
      <t>アンゼン</t>
    </rPh>
    <rPh sb="21" eb="22">
      <t>リツ</t>
    </rPh>
    <phoneticPr fontId="3"/>
  </si>
  <si>
    <t>HSR</t>
    <phoneticPr fontId="3"/>
  </si>
  <si>
    <t>水平水浸率=Hw/H   （文献１．Ｐ２０４）</t>
    <rPh sb="0" eb="2">
      <t>スイヘイ</t>
    </rPh>
    <rPh sb="2" eb="3">
      <t>ミズ</t>
    </rPh>
    <rPh sb="3" eb="4">
      <t>ヒタ</t>
    </rPh>
    <rPh sb="4" eb="5">
      <t>リツ</t>
    </rPh>
    <rPh sb="14" eb="16">
      <t>ブンケン</t>
    </rPh>
    <phoneticPr fontId="3"/>
  </si>
  <si>
    <r>
      <t>ａ（Ｆｓ）</t>
    </r>
    <r>
      <rPr>
        <vertAlign val="superscript"/>
        <sz val="11"/>
        <rFont val="ＭＳ Ｐゴシック"/>
        <family val="3"/>
        <charset val="128"/>
      </rPr>
      <t>２</t>
    </r>
    <r>
      <rPr>
        <sz val="11"/>
        <color theme="1"/>
        <rFont val="游ゴシック"/>
        <family val="2"/>
        <charset val="128"/>
        <scheme val="minor"/>
      </rPr>
      <t>＋ｂ（Ｆｓ）＋ｃ＝０</t>
    </r>
    <phoneticPr fontId="3"/>
  </si>
  <si>
    <r>
      <t>Ｆｓ＝（－ｂ＋</t>
    </r>
    <r>
      <rPr>
        <sz val="12"/>
        <rFont val="ＭＳ Ｐゴシック"/>
        <family val="3"/>
        <charset val="128"/>
      </rPr>
      <t>√</t>
    </r>
    <r>
      <rPr>
        <sz val="10.5"/>
        <rFont val="ＭＳ 明朝"/>
        <family val="1"/>
        <charset val="128"/>
      </rPr>
      <t>ｂ</t>
    </r>
    <r>
      <rPr>
        <vertAlign val="superscript"/>
        <sz val="10.5"/>
        <rFont val="ＭＳ 明朝"/>
        <family val="1"/>
        <charset val="128"/>
      </rPr>
      <t>２</t>
    </r>
    <r>
      <rPr>
        <sz val="10.5"/>
        <rFont val="ＭＳ 明朝"/>
        <family val="1"/>
        <charset val="128"/>
      </rPr>
      <t>―４ａｃ）／２ａ</t>
    </r>
    <phoneticPr fontId="3"/>
  </si>
  <si>
    <t>(ため池整備ｐ49)</t>
    <rPh sb="3" eb="4">
      <t>イケ</t>
    </rPh>
    <rPh sb="4" eb="6">
      <t>セイビ</t>
    </rPh>
    <phoneticPr fontId="3"/>
  </si>
  <si>
    <t xml:space="preserve">(擁壁工p34) </t>
    <rPh sb="1" eb="2">
      <t>ヨウ</t>
    </rPh>
    <rPh sb="2" eb="3">
      <t>ヘキ</t>
    </rPh>
    <rPh sb="3" eb="4">
      <t>コウ</t>
    </rPh>
    <phoneticPr fontId="3"/>
  </si>
  <si>
    <t>ａ＝</t>
    <phoneticPr fontId="3"/>
  </si>
  <si>
    <t>ＷA*cos（(ω＋β）/２）-NAcosβcos(（ω＋β）/2)-</t>
    <phoneticPr fontId="3"/>
  </si>
  <si>
    <r>
      <t>Ｕｎ*cosβcos((ω+β)/2)+｛（γｗ*ｈ´</t>
    </r>
    <r>
      <rPr>
        <vertAlign val="superscript"/>
        <sz val="11"/>
        <rFont val="ＭＳ Ｐゴシック"/>
        <family val="3"/>
        <charset val="128"/>
      </rPr>
      <t>2</t>
    </r>
    <r>
      <rPr>
        <sz val="11"/>
        <color theme="1"/>
        <rFont val="游ゴシック"/>
        <family val="2"/>
        <charset val="128"/>
        <scheme val="minor"/>
      </rPr>
      <t>ｃｏｓ</t>
    </r>
    <r>
      <rPr>
        <vertAlign val="superscript"/>
        <sz val="11"/>
        <rFont val="ＭＳ Ｐゴシック"/>
        <family val="3"/>
        <charset val="128"/>
      </rPr>
      <t>2</t>
    </r>
    <r>
      <rPr>
        <sz val="11"/>
        <color theme="1"/>
        <rFont val="游ゴシック"/>
        <family val="2"/>
        <charset val="128"/>
        <scheme val="minor"/>
      </rPr>
      <t>β）/２｝ｓｉｎ((ω+β)/2)</t>
    </r>
    <phoneticPr fontId="3"/>
  </si>
  <si>
    <t>ｂ＝</t>
    <phoneticPr fontId="3"/>
  </si>
  <si>
    <t>－ＷA*sin(（β+ω）/2)tanφ＋ＮA*cosβsin(（β+ω）/2)*tanφーNAtanδsinβcos((β+ω)/2)</t>
    <phoneticPr fontId="3"/>
  </si>
  <si>
    <t>-Ca*sinβ*cos((β+ω）/2)+Ｕn*cosβsin(（β+ω）/2)*tanφ</t>
    <phoneticPr fontId="3"/>
  </si>
  <si>
    <t>-γsat*h'*C3*tanφ*１/２*sin(（β+ω）/2)＋</t>
    <phoneticPr fontId="3"/>
  </si>
  <si>
    <r>
      <t>+C3/h'*tanφ*γｗ*h'</t>
    </r>
    <r>
      <rPr>
        <vertAlign val="superscript"/>
        <sz val="11"/>
        <rFont val="ＭＳ Ｐゴシック"/>
        <family val="3"/>
        <charset val="128"/>
      </rPr>
      <t>2</t>
    </r>
    <r>
      <rPr>
        <sz val="11"/>
        <rFont val="ＭＳ Ｐゴシック"/>
        <family val="3"/>
        <charset val="128"/>
      </rPr>
      <t>*cos</t>
    </r>
    <r>
      <rPr>
        <vertAlign val="superscript"/>
        <sz val="11"/>
        <rFont val="ＭＳ Ｐゴシック"/>
        <family val="3"/>
        <charset val="128"/>
      </rPr>
      <t>2</t>
    </r>
    <r>
      <rPr>
        <sz val="11"/>
        <rFont val="ＭＳ Ｐゴシック"/>
        <family val="3"/>
        <charset val="128"/>
      </rPr>
      <t>β</t>
    </r>
    <r>
      <rPr>
        <sz val="11"/>
        <color theme="1"/>
        <rFont val="游ゴシック"/>
        <family val="2"/>
        <charset val="128"/>
        <scheme val="minor"/>
      </rPr>
      <t>*sin(（β+ω）/2)*1/2-C*sin((β+ω）/2)</t>
    </r>
    <phoneticPr fontId="3"/>
  </si>
  <si>
    <t>ｃ＝</t>
    <phoneticPr fontId="3"/>
  </si>
  <si>
    <t>ＮAtanδsinβsin（（ω＋β)/2)tanφ+Ca*sinβsin((ω+β)/2)tanφ</t>
    <phoneticPr fontId="3"/>
  </si>
  <si>
    <t>D＝</t>
    <phoneticPr fontId="3"/>
  </si>
  <si>
    <t>Lsinβ+hc*cosβ-H&gt;0</t>
    <phoneticPr fontId="3"/>
  </si>
  <si>
    <t>Case2</t>
    <phoneticPr fontId="3"/>
  </si>
  <si>
    <t>Hw&lt;h'の時</t>
    <rPh sb="6" eb="7">
      <t>トキ</t>
    </rPh>
    <phoneticPr fontId="3"/>
  </si>
  <si>
    <t>斜面先から測った自由水面の鉛直高さ　（　1*10-6以上の値を入力 ）</t>
    <rPh sb="0" eb="2">
      <t>シャメン</t>
    </rPh>
    <rPh sb="2" eb="3">
      <t>サキ</t>
    </rPh>
    <rPh sb="5" eb="6">
      <t>ハカ</t>
    </rPh>
    <rPh sb="8" eb="10">
      <t>ジユウ</t>
    </rPh>
    <rPh sb="10" eb="12">
      <t>スイメン</t>
    </rPh>
    <rPh sb="13" eb="15">
      <t>エンチョク</t>
    </rPh>
    <rPh sb="15" eb="16">
      <t>タカ</t>
    </rPh>
    <rPh sb="26" eb="28">
      <t>イジョウ</t>
    </rPh>
    <rPh sb="29" eb="30">
      <t>アタイ</t>
    </rPh>
    <rPh sb="31" eb="33">
      <t>ニュウリョク</t>
    </rPh>
    <phoneticPr fontId="3"/>
  </si>
  <si>
    <t>覆土のジオメンブレン上のすべりに対する安全率 &gt;1.5</t>
    <rPh sb="0" eb="1">
      <t>フク</t>
    </rPh>
    <rPh sb="1" eb="2">
      <t>ド</t>
    </rPh>
    <rPh sb="10" eb="11">
      <t>ジョウ</t>
    </rPh>
    <rPh sb="16" eb="17">
      <t>タイ</t>
    </rPh>
    <rPh sb="19" eb="21">
      <t>アンゼン</t>
    </rPh>
    <rPh sb="21" eb="22">
      <t>リツ</t>
    </rPh>
    <phoneticPr fontId="3"/>
  </si>
  <si>
    <t>C9</t>
    <phoneticPr fontId="3"/>
  </si>
  <si>
    <t>　　図　　＝(h'-Hw)/tanω</t>
    <rPh sb="2" eb="3">
      <t>ズ</t>
    </rPh>
    <phoneticPr fontId="3"/>
  </si>
  <si>
    <t>(擁壁工p34)</t>
    <rPh sb="1" eb="2">
      <t>ヨウ</t>
    </rPh>
    <rPh sb="2" eb="3">
      <t>ヘキ</t>
    </rPh>
    <rPh sb="3" eb="4">
      <t>コウ</t>
    </rPh>
    <phoneticPr fontId="3"/>
  </si>
  <si>
    <r>
      <t>Ｕｎ*cosβcos((ω+β)/2)+｛（γｗ*cos</t>
    </r>
    <r>
      <rPr>
        <vertAlign val="superscript"/>
        <sz val="11"/>
        <rFont val="ＭＳ Ｐゴシック"/>
        <family val="3"/>
        <charset val="128"/>
      </rPr>
      <t>2</t>
    </r>
    <r>
      <rPr>
        <sz val="11"/>
        <rFont val="ＭＳ Ｐゴシック"/>
        <family val="3"/>
        <charset val="128"/>
      </rPr>
      <t>β*（ｈ´-C9*tanω）</t>
    </r>
    <r>
      <rPr>
        <vertAlign val="superscript"/>
        <sz val="11"/>
        <rFont val="ＭＳ Ｐゴシック"/>
        <family val="3"/>
        <charset val="128"/>
      </rPr>
      <t>２</t>
    </r>
    <r>
      <rPr>
        <sz val="11"/>
        <rFont val="ＭＳ Ｐゴシック"/>
        <family val="3"/>
        <charset val="128"/>
      </rPr>
      <t>*1/2｝ｓｉｎ((ω+β)/2)</t>
    </r>
    <phoneticPr fontId="3"/>
  </si>
  <si>
    <t>－ＷA*sin(（β+ω）/2)tanφ＋ＮA*cosβsin(（β+ω）/2)tanφー</t>
    <phoneticPr fontId="3"/>
  </si>
  <si>
    <t>ＮAtanδsinβcos(（β+ω）/2)-Ca*sinβ*cos((β+ω）/2)＋Ｕn*cosβsin(（β+ω）/2)tanφー</t>
    <phoneticPr fontId="3"/>
  </si>
  <si>
    <t>γsat*(C9+C3)*Hw*tanφ*(1/2)*sin((ω+β）/2)-C9*C9*tanω*(1/2)*γdry*tanφ*sin(（β+ω）/2)+</t>
    <phoneticPr fontId="3"/>
  </si>
  <si>
    <r>
      <t>C3*tanφ*Uh/(h'-C9tanω）*sin(（β+ω）/2)-C*</t>
    </r>
    <r>
      <rPr>
        <sz val="11"/>
        <color theme="1"/>
        <rFont val="游ゴシック"/>
        <family val="2"/>
        <charset val="128"/>
        <scheme val="minor"/>
      </rPr>
      <t>sin(（β+ω）/2)</t>
    </r>
    <phoneticPr fontId="3"/>
  </si>
  <si>
    <t>ＮAtanδsinβsin（（ω＋β)/2)tanφ+Ca*sinβ*sin((β+ω)/2)tanφ</t>
    <phoneticPr fontId="3"/>
  </si>
  <si>
    <t>Lsinβ+hc*cosβ-H＞０</t>
    <phoneticPr fontId="3"/>
  </si>
  <si>
    <t>層厚をテーパー化した覆土の斜面　(地震力を考慮した計算)</t>
    <rPh sb="0" eb="1">
      <t>ソウ</t>
    </rPh>
    <rPh sb="1" eb="2">
      <t>アツシ</t>
    </rPh>
    <rPh sb="7" eb="8">
      <t>カ</t>
    </rPh>
    <rPh sb="10" eb="11">
      <t>フク</t>
    </rPh>
    <rPh sb="11" eb="12">
      <t>ド</t>
    </rPh>
    <rPh sb="13" eb="14">
      <t>シャ</t>
    </rPh>
    <rPh sb="14" eb="15">
      <t>メン</t>
    </rPh>
    <rPh sb="17" eb="19">
      <t>ジシン</t>
    </rPh>
    <rPh sb="19" eb="20">
      <t>リョク</t>
    </rPh>
    <rPh sb="21" eb="23">
      <t>コウリョ</t>
    </rPh>
    <rPh sb="25" eb="27">
      <t>ケイサン</t>
    </rPh>
    <phoneticPr fontId="3"/>
  </si>
  <si>
    <t>y</t>
    <phoneticPr fontId="3"/>
  </si>
  <si>
    <t>y=(L-(D/sinβ）-hc*tanβ）（sinβ-cosβtanω）　　　p192参照</t>
    <rPh sb="44" eb="46">
      <t>サンショウ</t>
    </rPh>
    <phoneticPr fontId="3"/>
  </si>
  <si>
    <t>γ</t>
    <phoneticPr fontId="3"/>
  </si>
  <si>
    <t>覆土の単位体積重量</t>
    <rPh sb="0" eb="1">
      <t>フク</t>
    </rPh>
    <rPh sb="1" eb="2">
      <t>ド</t>
    </rPh>
    <rPh sb="3" eb="5">
      <t>タンイ</t>
    </rPh>
    <rPh sb="5" eb="7">
      <t>タイセキ</t>
    </rPh>
    <rPh sb="7" eb="9">
      <t>ジュウリョウ</t>
    </rPh>
    <phoneticPr fontId="3"/>
  </si>
  <si>
    <r>
      <t>KN/ｍ</t>
    </r>
    <r>
      <rPr>
        <vertAlign val="superscript"/>
        <sz val="9"/>
        <rFont val="ＭＳ Ｐゴシック"/>
        <family val="3"/>
        <charset val="128"/>
      </rPr>
      <t>3</t>
    </r>
    <phoneticPr fontId="3"/>
  </si>
  <si>
    <t>Ｈ</t>
    <phoneticPr fontId="3"/>
  </si>
  <si>
    <t>斜面先から測った斜面の鉛直高さ</t>
    <rPh sb="0" eb="2">
      <t>シャメン</t>
    </rPh>
    <rPh sb="2" eb="3">
      <t>サキ</t>
    </rPh>
    <rPh sb="5" eb="6">
      <t>ハカ</t>
    </rPh>
    <rPh sb="8" eb="10">
      <t>シャメン</t>
    </rPh>
    <rPh sb="11" eb="13">
      <t>エンチョク</t>
    </rPh>
    <rPh sb="13" eb="14">
      <t>タカ</t>
    </rPh>
    <phoneticPr fontId="3"/>
  </si>
  <si>
    <t>hc</t>
    <phoneticPr fontId="3"/>
  </si>
  <si>
    <r>
      <t>KN/ｍ</t>
    </r>
    <r>
      <rPr>
        <vertAlign val="superscript"/>
        <sz val="9"/>
        <rFont val="ＭＳ Ｐゴシック"/>
        <family val="3"/>
        <charset val="128"/>
      </rPr>
      <t>2</t>
    </r>
    <phoneticPr fontId="3"/>
  </si>
  <si>
    <t>Ｃｓ</t>
    <phoneticPr fontId="3"/>
  </si>
  <si>
    <t>平均震度</t>
    <rPh sb="0" eb="2">
      <t>ヘイキン</t>
    </rPh>
    <rPh sb="2" eb="4">
      <t>シンド</t>
    </rPh>
    <phoneticPr fontId="3"/>
  </si>
  <si>
    <t>覆土のジオメンブレン上のすべりに対する安全率</t>
    <rPh sb="0" eb="1">
      <t>フク</t>
    </rPh>
    <rPh sb="1" eb="2">
      <t>ド</t>
    </rPh>
    <rPh sb="10" eb="11">
      <t>ジョウ</t>
    </rPh>
    <rPh sb="16" eb="17">
      <t>タイ</t>
    </rPh>
    <rPh sb="19" eb="21">
      <t>アンゼン</t>
    </rPh>
    <rPh sb="21" eb="22">
      <t>リツ</t>
    </rPh>
    <phoneticPr fontId="3"/>
  </si>
  <si>
    <t>&gt;1.2</t>
    <phoneticPr fontId="3"/>
  </si>
  <si>
    <t>地震時</t>
    <rPh sb="0" eb="2">
      <t>ジシン</t>
    </rPh>
    <rPh sb="2" eb="3">
      <t>ジ</t>
    </rPh>
    <phoneticPr fontId="3"/>
  </si>
  <si>
    <t xml:space="preserve">（ＷAーＮAcosβ）cos(（ω＋β）/2)+sin((ω+β）/2)*Cs*Wp </t>
    <phoneticPr fontId="3"/>
  </si>
  <si>
    <t>－｛（ＷA-ＮAcosβ）sin(（β+ω）/2)tanφ＋（ＮAtanδ＋</t>
    <phoneticPr fontId="3"/>
  </si>
  <si>
    <t>Ｃa）sinβcos(（β+ω）/2)＋sin((β+ω）/2)（Ｃ＋Ｗｐtanφ）｝</t>
    <phoneticPr fontId="3"/>
  </si>
  <si>
    <t>（ＮAtanδ＋Ｃa）sinβsin（（ω＋β)/2)tanφ</t>
    <phoneticPr fontId="3"/>
  </si>
  <si>
    <t>（例題）195ページ</t>
    <phoneticPr fontId="3"/>
  </si>
  <si>
    <t>覆土の湿潤単位体積重量</t>
    <rPh sb="0" eb="1">
      <t>フク</t>
    </rPh>
    <rPh sb="1" eb="2">
      <t>ド</t>
    </rPh>
    <rPh sb="3" eb="5">
      <t>シツジュン</t>
    </rPh>
    <rPh sb="5" eb="7">
      <t>タンイ</t>
    </rPh>
    <rPh sb="7" eb="9">
      <t>タイセキ</t>
    </rPh>
    <rPh sb="9" eb="11">
      <t>ジュウリョウ</t>
    </rPh>
    <phoneticPr fontId="3"/>
  </si>
  <si>
    <t>（ＷAーＮAcosβ）cos(（ω＋β）/2)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</si>
</sst>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00"/>
    <numFmt numFmtId="178" formatCode="0.0_ "/>
    <numFmt numFmtId="179" formatCode="0.00_);[Red]\(0.00\)"/>
    <numFmt numFmtId="180" formatCode="0.00_ "/>
  </numFmts>
  <fonts count="1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8"/>
      <name val="ＭＳ Ｐゴシック"/>
      <family val="3"/>
      <charset val="128"/>
    </font>
    <font>
      <sz val="14"/>
      <name val="ＭＳ Ｐゴシック"/>
      <family val="3"/>
      <charset val="128"/>
    </font>
    <font>
      <sz val="11"/>
      <color indexed="10"/>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vertAlign val="subscript"/>
      <sz val="11"/>
      <name val="ＭＳ Ｐゴシック"/>
      <family val="3"/>
      <charset val="128"/>
    </font>
    <font>
      <vertAlign val="superscript"/>
      <sz val="11"/>
      <name val="ＭＳ Ｐゴシック"/>
      <family val="3"/>
      <charset val="128"/>
    </font>
    <font>
      <sz val="10.5"/>
      <name val="ＭＳ 明朝"/>
      <family val="1"/>
      <charset val="128"/>
    </font>
    <font>
      <sz val="12"/>
      <name val="ＭＳ Ｐゴシック"/>
      <family val="3"/>
      <charset val="128"/>
    </font>
    <font>
      <vertAlign val="superscript"/>
      <sz val="10.5"/>
      <name val="ＭＳ 明朝"/>
      <family val="1"/>
      <charset val="128"/>
    </font>
    <font>
      <vertAlign val="superscript"/>
      <sz val="9"/>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15"/>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2"/>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alignment vertical="center"/>
    </xf>
    <xf numFmtId="0" fontId="1" fillId="0" borderId="0"/>
  </cellStyleXfs>
  <cellXfs count="136">
    <xf numFmtId="0" fontId="0" fillId="0" borderId="0" xfId="0">
      <alignment vertical="center"/>
    </xf>
    <xf numFmtId="0" fontId="1" fillId="0" borderId="0" xfId="1"/>
    <xf numFmtId="14" fontId="1" fillId="0" borderId="0" xfId="1" applyNumberFormat="1" applyAlignment="1">
      <alignment horizontal="center"/>
    </xf>
    <xf numFmtId="0" fontId="1" fillId="2" borderId="0" xfId="1" applyFill="1"/>
    <xf numFmtId="0" fontId="1" fillId="0" borderId="1" xfId="1" applyBorder="1" applyAlignment="1">
      <alignment horizontal="center"/>
    </xf>
    <xf numFmtId="0" fontId="1" fillId="0" borderId="4" xfId="1" applyBorder="1" applyAlignment="1">
      <alignment horizontal="center"/>
    </xf>
    <xf numFmtId="0" fontId="1" fillId="0" borderId="5" xfId="1" applyBorder="1" applyAlignment="1">
      <alignment horizontal="center"/>
    </xf>
    <xf numFmtId="49" fontId="1" fillId="0" borderId="6" xfId="1" applyNumberFormat="1" applyBorder="1" applyAlignment="1">
      <alignment horizontal="center"/>
    </xf>
    <xf numFmtId="49" fontId="1" fillId="0" borderId="7" xfId="1" applyNumberFormat="1" applyBorder="1" applyAlignment="1">
      <alignment horizontal="center"/>
    </xf>
    <xf numFmtId="0" fontId="1" fillId="0" borderId="8" xfId="1" applyBorder="1" applyAlignment="1">
      <alignment horizontal="center"/>
    </xf>
    <xf numFmtId="0" fontId="1" fillId="0" borderId="9" xfId="1" applyBorder="1"/>
    <xf numFmtId="0" fontId="4" fillId="0" borderId="9" xfId="1" applyFont="1" applyBorder="1" applyAlignment="1">
      <alignment horizontal="center"/>
    </xf>
    <xf numFmtId="0" fontId="1" fillId="0" borderId="10" xfId="1" applyBorder="1"/>
    <xf numFmtId="0" fontId="1" fillId="0" borderId="11" xfId="1" applyBorder="1" applyAlignment="1">
      <alignment horizontal="center"/>
    </xf>
    <xf numFmtId="0" fontId="1" fillId="0" borderId="12" xfId="1" applyBorder="1"/>
    <xf numFmtId="0" fontId="4" fillId="0" borderId="12" xfId="1" applyFont="1" applyBorder="1" applyAlignment="1">
      <alignment horizontal="center"/>
    </xf>
    <xf numFmtId="176" fontId="1" fillId="0" borderId="13" xfId="1" applyNumberFormat="1" applyBorder="1"/>
    <xf numFmtId="0" fontId="1" fillId="0" borderId="13" xfId="1" applyBorder="1"/>
    <xf numFmtId="2" fontId="1" fillId="2" borderId="13" xfId="1" applyNumberFormat="1" applyFill="1" applyBorder="1"/>
    <xf numFmtId="2" fontId="1" fillId="0" borderId="13" xfId="1" applyNumberFormat="1" applyBorder="1"/>
    <xf numFmtId="0" fontId="1" fillId="0" borderId="12" xfId="1" applyBorder="1" applyAlignment="1">
      <alignment wrapText="1"/>
    </xf>
    <xf numFmtId="0" fontId="1" fillId="0" borderId="12" xfId="1" applyBorder="1" applyAlignment="1">
      <alignment horizontal="center"/>
    </xf>
    <xf numFmtId="0" fontId="1" fillId="0" borderId="14" xfId="1" applyBorder="1" applyAlignment="1">
      <alignment horizontal="center"/>
    </xf>
    <xf numFmtId="0" fontId="1" fillId="0" borderId="15" xfId="1" applyBorder="1" applyAlignment="1">
      <alignment horizontal="center"/>
    </xf>
    <xf numFmtId="0" fontId="1" fillId="0" borderId="15" xfId="1" applyBorder="1"/>
    <xf numFmtId="0" fontId="4" fillId="0" borderId="15" xfId="1" applyFont="1" applyBorder="1" applyAlignment="1">
      <alignment horizontal="center"/>
    </xf>
    <xf numFmtId="2" fontId="1" fillId="0" borderId="16" xfId="1" applyNumberFormat="1" applyBorder="1"/>
    <xf numFmtId="2" fontId="1" fillId="2" borderId="16" xfId="1" applyNumberFormat="1" applyFill="1" applyBorder="1"/>
    <xf numFmtId="0" fontId="1" fillId="0" borderId="17" xfId="1" applyBorder="1" applyAlignment="1">
      <alignment horizontal="center"/>
    </xf>
    <xf numFmtId="0" fontId="1" fillId="0" borderId="18" xfId="1" applyBorder="1"/>
    <xf numFmtId="2" fontId="1" fillId="0" borderId="19" xfId="1" applyNumberFormat="1" applyBorder="1"/>
    <xf numFmtId="0" fontId="4" fillId="0" borderId="20" xfId="1" applyFont="1" applyBorder="1" applyAlignment="1">
      <alignment horizontal="center"/>
    </xf>
    <xf numFmtId="2" fontId="1" fillId="0" borderId="10" xfId="1" applyNumberFormat="1" applyBorder="1"/>
    <xf numFmtId="0" fontId="4" fillId="0" borderId="21" xfId="1" applyFont="1" applyBorder="1" applyAlignment="1">
      <alignment horizontal="center"/>
    </xf>
    <xf numFmtId="0" fontId="1" fillId="0" borderId="5" xfId="1" applyBorder="1"/>
    <xf numFmtId="0" fontId="4" fillId="0" borderId="5" xfId="1" applyFont="1" applyBorder="1" applyAlignment="1">
      <alignment horizontal="center"/>
    </xf>
    <xf numFmtId="2" fontId="1" fillId="0" borderId="7" xfId="1" applyNumberFormat="1" applyBorder="1"/>
    <xf numFmtId="0" fontId="5" fillId="0" borderId="0" xfId="1" applyFont="1"/>
    <xf numFmtId="0" fontId="1" fillId="0" borderId="0" xfId="1" applyAlignment="1">
      <alignment horizontal="center"/>
    </xf>
    <xf numFmtId="0" fontId="1" fillId="0" borderId="22" xfId="1" applyBorder="1"/>
    <xf numFmtId="0" fontId="1" fillId="3" borderId="23" xfId="1" applyFill="1" applyBorder="1"/>
    <xf numFmtId="0" fontId="1" fillId="0" borderId="23" xfId="1" applyBorder="1"/>
    <xf numFmtId="0" fontId="1" fillId="0" borderId="24" xfId="1" applyBorder="1"/>
    <xf numFmtId="0" fontId="1" fillId="0" borderId="25" xfId="1" applyBorder="1" applyAlignment="1">
      <alignment vertical="top"/>
    </xf>
    <xf numFmtId="0" fontId="1" fillId="0" borderId="26" xfId="1" applyBorder="1"/>
    <xf numFmtId="0" fontId="1" fillId="0" borderId="27" xfId="1" applyBorder="1" applyAlignment="1">
      <alignment vertical="top"/>
    </xf>
    <xf numFmtId="0" fontId="1" fillId="0" borderId="28" xfId="1" applyBorder="1"/>
    <xf numFmtId="0" fontId="1" fillId="0" borderId="29" xfId="1" applyBorder="1" applyAlignment="1">
      <alignment vertical="top"/>
    </xf>
    <xf numFmtId="0" fontId="1" fillId="0" borderId="30" xfId="1" applyBorder="1"/>
    <xf numFmtId="0" fontId="1" fillId="0" borderId="31" xfId="1" applyBorder="1"/>
    <xf numFmtId="0" fontId="6" fillId="0" borderId="25" xfId="1" applyFont="1" applyBorder="1" applyAlignment="1">
      <alignment vertical="top"/>
    </xf>
    <xf numFmtId="0" fontId="6" fillId="0" borderId="27" xfId="1" applyFont="1" applyBorder="1" applyAlignment="1">
      <alignment vertical="top"/>
    </xf>
    <xf numFmtId="0" fontId="6" fillId="0" borderId="28" xfId="1" applyFont="1" applyBorder="1"/>
    <xf numFmtId="0" fontId="6" fillId="0" borderId="0" xfId="1" applyFont="1"/>
    <xf numFmtId="0" fontId="6" fillId="0" borderId="26" xfId="1" applyFont="1" applyBorder="1"/>
    <xf numFmtId="0" fontId="6" fillId="0" borderId="27" xfId="1" applyFont="1" applyBorder="1"/>
    <xf numFmtId="0" fontId="6" fillId="0" borderId="35" xfId="1" applyFont="1" applyBorder="1"/>
    <xf numFmtId="0" fontId="6" fillId="0" borderId="36" xfId="1" applyFont="1" applyBorder="1"/>
    <xf numFmtId="0" fontId="1" fillId="0" borderId="36" xfId="1" applyBorder="1"/>
    <xf numFmtId="0" fontId="1" fillId="0" borderId="37" xfId="1" applyBorder="1"/>
    <xf numFmtId="0" fontId="1" fillId="0" borderId="38" xfId="1" applyBorder="1"/>
    <xf numFmtId="0" fontId="1" fillId="0" borderId="39" xfId="1" applyBorder="1"/>
    <xf numFmtId="0" fontId="1" fillId="0" borderId="40" xfId="1" applyBorder="1"/>
    <xf numFmtId="0" fontId="1" fillId="0" borderId="41" xfId="1" applyBorder="1"/>
    <xf numFmtId="0" fontId="1" fillId="0" borderId="21" xfId="1" applyBorder="1" applyAlignment="1">
      <alignment horizontal="center"/>
    </xf>
    <xf numFmtId="0" fontId="1" fillId="0" borderId="21" xfId="1" applyBorder="1"/>
    <xf numFmtId="0" fontId="4" fillId="0" borderId="30" xfId="1" applyFont="1" applyBorder="1"/>
    <xf numFmtId="0" fontId="7" fillId="0" borderId="0" xfId="1" applyFont="1" applyAlignment="1">
      <alignment horizontal="center"/>
    </xf>
    <xf numFmtId="0" fontId="7" fillId="0" borderId="12" xfId="1" applyFont="1" applyBorder="1" applyAlignment="1">
      <alignment horizontal="center"/>
    </xf>
    <xf numFmtId="0" fontId="8" fillId="0" borderId="12" xfId="1" applyFont="1" applyBorder="1" applyAlignment="1">
      <alignment horizontal="center"/>
    </xf>
    <xf numFmtId="2" fontId="1" fillId="4" borderId="12" xfId="1" applyNumberFormat="1" applyFill="1" applyBorder="1"/>
    <xf numFmtId="177" fontId="1" fillId="4" borderId="12" xfId="1" applyNumberFormat="1" applyFill="1" applyBorder="1"/>
    <xf numFmtId="2" fontId="1" fillId="0" borderId="12" xfId="1" applyNumberFormat="1" applyBorder="1"/>
    <xf numFmtId="0" fontId="8" fillId="0" borderId="15" xfId="1" applyFont="1" applyBorder="1" applyAlignment="1">
      <alignment horizontal="center"/>
    </xf>
    <xf numFmtId="177" fontId="1" fillId="0" borderId="12" xfId="1" applyNumberFormat="1" applyBorder="1"/>
    <xf numFmtId="0" fontId="8" fillId="0" borderId="43" xfId="1" applyFont="1" applyBorder="1" applyAlignment="1">
      <alignment horizontal="center"/>
    </xf>
    <xf numFmtId="2" fontId="1" fillId="4" borderId="43" xfId="1" applyNumberFormat="1" applyFill="1" applyBorder="1"/>
    <xf numFmtId="178" fontId="1" fillId="4" borderId="43" xfId="1" applyNumberFormat="1" applyFill="1" applyBorder="1" applyAlignment="1">
      <alignment horizontal="right"/>
    </xf>
    <xf numFmtId="179" fontId="1" fillId="0" borderId="12" xfId="1" applyNumberFormat="1" applyBorder="1"/>
    <xf numFmtId="178" fontId="1" fillId="5" borderId="43" xfId="1" applyNumberFormat="1" applyFill="1" applyBorder="1" applyAlignment="1">
      <alignment horizontal="center"/>
    </xf>
    <xf numFmtId="180" fontId="6" fillId="0" borderId="43" xfId="1" applyNumberFormat="1" applyFont="1" applyBorder="1" applyAlignment="1">
      <alignment horizontal="center"/>
    </xf>
    <xf numFmtId="0" fontId="9" fillId="0" borderId="0" xfId="1" applyFont="1"/>
    <xf numFmtId="0" fontId="1" fillId="0" borderId="0" xfId="1" applyAlignment="1">
      <alignment horizontal="right"/>
    </xf>
    <xf numFmtId="0" fontId="7" fillId="0" borderId="0" xfId="1" applyFont="1"/>
    <xf numFmtId="49" fontId="1" fillId="0" borderId="12" xfId="1" applyNumberFormat="1" applyBorder="1" applyAlignment="1">
      <alignment horizontal="center"/>
    </xf>
    <xf numFmtId="177" fontId="1" fillId="0" borderId="0" xfId="1" applyNumberFormat="1"/>
    <xf numFmtId="0" fontId="1" fillId="0" borderId="12" xfId="1" applyBorder="1" applyAlignment="1">
      <alignment horizontal="left"/>
    </xf>
    <xf numFmtId="0" fontId="8" fillId="0" borderId="21" xfId="1" applyFont="1" applyBorder="1" applyAlignment="1">
      <alignment horizontal="center"/>
    </xf>
    <xf numFmtId="2" fontId="1" fillId="5" borderId="12" xfId="1" applyNumberFormat="1" applyFill="1" applyBorder="1"/>
    <xf numFmtId="0" fontId="7" fillId="0" borderId="12" xfId="1" applyFont="1" applyBorder="1"/>
    <xf numFmtId="177" fontId="1" fillId="5" borderId="12" xfId="1" applyNumberFormat="1" applyFill="1" applyBorder="1"/>
    <xf numFmtId="2" fontId="1" fillId="6" borderId="12" xfId="1" applyNumberFormat="1" applyFill="1" applyBorder="1"/>
    <xf numFmtId="2" fontId="1" fillId="0" borderId="15" xfId="1" applyNumberFormat="1" applyBorder="1"/>
    <xf numFmtId="2" fontId="1" fillId="4" borderId="15" xfId="1" applyNumberFormat="1" applyFill="1" applyBorder="1"/>
    <xf numFmtId="0" fontId="1" fillId="0" borderId="42" xfId="1" applyBorder="1"/>
    <xf numFmtId="0" fontId="8" fillId="0" borderId="42" xfId="1" applyFont="1" applyBorder="1" applyAlignment="1">
      <alignment horizontal="center"/>
    </xf>
    <xf numFmtId="2" fontId="1" fillId="0" borderId="21" xfId="1" applyNumberFormat="1" applyBorder="1"/>
    <xf numFmtId="0" fontId="1" fillId="7" borderId="12" xfId="1" applyFill="1" applyBorder="1" applyAlignment="1">
      <alignment horizontal="center"/>
    </xf>
    <xf numFmtId="0" fontId="1" fillId="7" borderId="12" xfId="1" applyFill="1" applyBorder="1"/>
    <xf numFmtId="0" fontId="8" fillId="7" borderId="12" xfId="1" applyFont="1" applyFill="1" applyBorder="1" applyAlignment="1">
      <alignment horizontal="center"/>
    </xf>
    <xf numFmtId="2" fontId="1" fillId="7" borderId="12" xfId="1" applyNumberFormat="1" applyFill="1" applyBorder="1"/>
    <xf numFmtId="0" fontId="6" fillId="2" borderId="0" xfId="1" applyFont="1" applyFill="1"/>
    <xf numFmtId="2" fontId="1" fillId="0" borderId="43" xfId="1" applyNumberFormat="1" applyBorder="1"/>
    <xf numFmtId="0" fontId="1" fillId="0" borderId="43" xfId="1" applyBorder="1"/>
    <xf numFmtId="178" fontId="1" fillId="4" borderId="43" xfId="1" applyNumberFormat="1" applyFill="1" applyBorder="1"/>
    <xf numFmtId="0" fontId="1" fillId="0" borderId="0" xfId="1" applyAlignment="1">
      <alignment horizontal="left"/>
    </xf>
    <xf numFmtId="0" fontId="12" fillId="0" borderId="0" xfId="1" applyFont="1" applyAlignment="1">
      <alignment horizontal="justify"/>
    </xf>
    <xf numFmtId="177" fontId="1" fillId="0" borderId="15" xfId="1" applyNumberFormat="1" applyBorder="1"/>
    <xf numFmtId="0" fontId="1" fillId="0" borderId="44" xfId="1" applyBorder="1" applyAlignment="1">
      <alignment horizontal="center"/>
    </xf>
    <xf numFmtId="0" fontId="1" fillId="0" borderId="44" xfId="1" applyBorder="1"/>
    <xf numFmtId="177" fontId="1" fillId="0" borderId="44" xfId="1" applyNumberFormat="1" applyBorder="1"/>
    <xf numFmtId="0" fontId="1" fillId="0" borderId="15" xfId="1" quotePrefix="1" applyBorder="1"/>
    <xf numFmtId="0" fontId="1" fillId="0" borderId="44" xfId="1" quotePrefix="1" applyBorder="1"/>
    <xf numFmtId="2" fontId="1" fillId="0" borderId="44" xfId="1" applyNumberFormat="1" applyBorder="1"/>
    <xf numFmtId="0" fontId="1" fillId="0" borderId="21" xfId="1" quotePrefix="1" applyBorder="1"/>
    <xf numFmtId="0" fontId="1" fillId="0" borderId="33" xfId="1" applyBorder="1" applyAlignment="1">
      <alignment horizontal="center"/>
    </xf>
    <xf numFmtId="0" fontId="1" fillId="0" borderId="33" xfId="1" applyBorder="1" applyAlignment="1">
      <alignment horizontal="left"/>
    </xf>
    <xf numFmtId="0" fontId="8" fillId="0" borderId="33" xfId="1" applyFont="1" applyBorder="1" applyAlignment="1">
      <alignment horizontal="center"/>
    </xf>
    <xf numFmtId="0" fontId="1" fillId="0" borderId="33" xfId="1" applyBorder="1"/>
    <xf numFmtId="0" fontId="1" fillId="0" borderId="30" xfId="1" applyBorder="1" applyAlignment="1">
      <alignment horizontal="center"/>
    </xf>
    <xf numFmtId="0" fontId="12" fillId="0" borderId="30" xfId="1" applyFont="1" applyBorder="1" applyAlignment="1">
      <alignment horizontal="justify"/>
    </xf>
    <xf numFmtId="0" fontId="1" fillId="0" borderId="45" xfId="1" applyBorder="1"/>
    <xf numFmtId="177" fontId="1" fillId="0" borderId="21" xfId="1" applyNumberFormat="1" applyBorder="1"/>
    <xf numFmtId="14" fontId="1" fillId="0" borderId="0" xfId="1" applyNumberFormat="1"/>
    <xf numFmtId="0" fontId="8" fillId="0" borderId="12" xfId="1" applyFont="1" applyBorder="1"/>
    <xf numFmtId="0" fontId="1" fillId="4" borderId="43" xfId="1" applyFill="1" applyBorder="1"/>
    <xf numFmtId="14" fontId="1" fillId="0" borderId="0" xfId="1" applyNumberFormat="1" applyAlignment="1">
      <alignment horizontal="center"/>
    </xf>
    <xf numFmtId="0" fontId="1" fillId="0" borderId="0" xfId="1" applyAlignment="1">
      <alignment horizontal="center"/>
    </xf>
    <xf numFmtId="0" fontId="1" fillId="0" borderId="1" xfId="1" applyBorder="1" applyAlignment="1">
      <alignment horizontal="center"/>
    </xf>
    <xf numFmtId="0" fontId="1" fillId="0" borderId="2" xfId="1" applyBorder="1" applyAlignment="1">
      <alignment horizontal="center"/>
    </xf>
    <xf numFmtId="0" fontId="1" fillId="0" borderId="3" xfId="1" applyBorder="1" applyAlignment="1">
      <alignment horizontal="center"/>
    </xf>
    <xf numFmtId="0" fontId="6" fillId="0" borderId="32" xfId="1" applyFont="1" applyBorder="1"/>
    <xf numFmtId="0" fontId="6" fillId="0" borderId="33" xfId="1" applyFont="1" applyBorder="1"/>
    <xf numFmtId="0" fontId="6" fillId="0" borderId="34" xfId="1" applyFont="1" applyBorder="1"/>
    <xf numFmtId="0" fontId="1" fillId="0" borderId="42" xfId="1" applyBorder="1" applyAlignment="1">
      <alignment horizontal="center"/>
    </xf>
    <xf numFmtId="0" fontId="1" fillId="0" borderId="43" xfId="1" applyBorder="1" applyAlignment="1">
      <alignment horizontal="center"/>
    </xf>
  </cellXfs>
  <cellStyles count="2">
    <cellStyle name="標準" xfId="0" builtinId="0"/>
    <cellStyle name="標準 2" xfId="1" xr:uid="{75B78E1A-F4E4-4AD1-9132-D20D249207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66675</xdr:colOff>
      <xdr:row>25</xdr:row>
      <xdr:rowOff>28575</xdr:rowOff>
    </xdr:to>
    <xdr:pic>
      <xdr:nvPicPr>
        <xdr:cNvPr id="2" name="図 1">
          <a:extLst>
            <a:ext uri="{FF2B5EF4-FFF2-40B4-BE49-F238E27FC236}">
              <a16:creationId xmlns:a16="http://schemas.microsoft.com/office/drawing/2014/main" id="{33054321-0BBF-4349-A585-14A21FE4E9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38125"/>
          <a:ext cx="6238875" cy="574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1047750</xdr:colOff>
      <xdr:row>24</xdr:row>
      <xdr:rowOff>85725</xdr:rowOff>
    </xdr:from>
    <xdr:to>
      <xdr:col>4</xdr:col>
      <xdr:colOff>1514475</xdr:colOff>
      <xdr:row>24</xdr:row>
      <xdr:rowOff>85725</xdr:rowOff>
    </xdr:to>
    <xdr:sp macro="" textlink="">
      <xdr:nvSpPr>
        <xdr:cNvPr id="2" name="Line 9">
          <a:extLst>
            <a:ext uri="{FF2B5EF4-FFF2-40B4-BE49-F238E27FC236}">
              <a16:creationId xmlns:a16="http://schemas.microsoft.com/office/drawing/2014/main" id="{ABF7392D-3C7C-4304-BE68-7026775F5CD3}"/>
            </a:ext>
          </a:extLst>
        </xdr:cNvPr>
        <xdr:cNvSpPr>
          <a:spLocks noChangeShapeType="1"/>
        </xdr:cNvSpPr>
      </xdr:nvSpPr>
      <xdr:spPr bwMode="auto">
        <a:xfrm>
          <a:off x="4238625" y="4267200"/>
          <a:ext cx="46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476250</xdr:colOff>
      <xdr:row>8</xdr:row>
      <xdr:rowOff>57150</xdr:rowOff>
    </xdr:from>
    <xdr:to>
      <xdr:col>6</xdr:col>
      <xdr:colOff>209550</xdr:colOff>
      <xdr:row>10</xdr:row>
      <xdr:rowOff>0</xdr:rowOff>
    </xdr:to>
    <xdr:sp macro="" textlink="">
      <xdr:nvSpPr>
        <xdr:cNvPr id="2" name="Oval 1">
          <a:extLst>
            <a:ext uri="{FF2B5EF4-FFF2-40B4-BE49-F238E27FC236}">
              <a16:creationId xmlns:a16="http://schemas.microsoft.com/office/drawing/2014/main" id="{5E27B7B1-13C4-4158-8830-A126745F5F66}"/>
            </a:ext>
          </a:extLst>
        </xdr:cNvPr>
        <xdr:cNvSpPr>
          <a:spLocks noChangeArrowheads="1"/>
        </xdr:cNvSpPr>
      </xdr:nvSpPr>
      <xdr:spPr bwMode="auto">
        <a:xfrm>
          <a:off x="5181600" y="1476375"/>
          <a:ext cx="1819275" cy="28575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START</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333375</xdr:colOff>
      <xdr:row>10</xdr:row>
      <xdr:rowOff>0</xdr:rowOff>
    </xdr:from>
    <xdr:to>
      <xdr:col>5</xdr:col>
      <xdr:colOff>333375</xdr:colOff>
      <xdr:row>12</xdr:row>
      <xdr:rowOff>161925</xdr:rowOff>
    </xdr:to>
    <xdr:sp macro="" textlink="">
      <xdr:nvSpPr>
        <xdr:cNvPr id="3" name="Line 2">
          <a:extLst>
            <a:ext uri="{FF2B5EF4-FFF2-40B4-BE49-F238E27FC236}">
              <a16:creationId xmlns:a16="http://schemas.microsoft.com/office/drawing/2014/main" id="{68F38D76-1114-491B-9AA9-220EE8401522}"/>
            </a:ext>
          </a:extLst>
        </xdr:cNvPr>
        <xdr:cNvSpPr>
          <a:spLocks noChangeShapeType="1"/>
        </xdr:cNvSpPr>
      </xdr:nvSpPr>
      <xdr:spPr bwMode="auto">
        <a:xfrm>
          <a:off x="6143625" y="17621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504825</xdr:colOff>
      <xdr:row>12</xdr:row>
      <xdr:rowOff>152400</xdr:rowOff>
    </xdr:from>
    <xdr:to>
      <xdr:col>7</xdr:col>
      <xdr:colOff>219075</xdr:colOff>
      <xdr:row>15</xdr:row>
      <xdr:rowOff>114300</xdr:rowOff>
    </xdr:to>
    <xdr:sp macro="" textlink="">
      <xdr:nvSpPr>
        <xdr:cNvPr id="4" name="Rectangle 3">
          <a:extLst>
            <a:ext uri="{FF2B5EF4-FFF2-40B4-BE49-F238E27FC236}">
              <a16:creationId xmlns:a16="http://schemas.microsoft.com/office/drawing/2014/main" id="{0DC60C64-B868-47F3-B4BC-81EE187CDCAD}"/>
            </a:ext>
          </a:extLst>
        </xdr:cNvPr>
        <xdr:cNvSpPr>
          <a:spLocks noChangeArrowheads="1"/>
        </xdr:cNvSpPr>
      </xdr:nvSpPr>
      <xdr:spPr bwMode="auto">
        <a:xfrm>
          <a:off x="4524375" y="2257425"/>
          <a:ext cx="3171825"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H,Hw,hc</a:t>
          </a:r>
        </a:p>
        <a:p>
          <a:pPr algn="ctr" rtl="0">
            <a:lnSpc>
              <a:spcPts val="1300"/>
            </a:lnSpc>
            <a:defRPr sz="1000"/>
          </a:pPr>
          <a:r>
            <a:rPr lang="ja-JP" altLang="en-US" sz="1100" b="0" i="0" u="none" strike="noStrike" baseline="0">
              <a:solidFill>
                <a:srgbClr val="000000"/>
              </a:solidFill>
              <a:latin typeface="ＭＳ Ｐゴシック"/>
              <a:ea typeface="ＭＳ Ｐゴシック"/>
            </a:rPr>
            <a:t>β、ωの入力</a:t>
          </a:r>
        </a:p>
      </xdr:txBody>
    </xdr:sp>
    <xdr:clientData/>
  </xdr:twoCellAnchor>
  <xdr:twoCellAnchor>
    <xdr:from>
      <xdr:col>5</xdr:col>
      <xdr:colOff>342900</xdr:colOff>
      <xdr:row>15</xdr:row>
      <xdr:rowOff>133350</xdr:rowOff>
    </xdr:from>
    <xdr:to>
      <xdr:col>5</xdr:col>
      <xdr:colOff>342900</xdr:colOff>
      <xdr:row>18</xdr:row>
      <xdr:rowOff>0</xdr:rowOff>
    </xdr:to>
    <xdr:sp macro="" textlink="">
      <xdr:nvSpPr>
        <xdr:cNvPr id="5" name="Line 4">
          <a:extLst>
            <a:ext uri="{FF2B5EF4-FFF2-40B4-BE49-F238E27FC236}">
              <a16:creationId xmlns:a16="http://schemas.microsoft.com/office/drawing/2014/main" id="{3760237D-EBE6-4D16-ABCE-C1FA5FFDEB33}"/>
            </a:ext>
          </a:extLst>
        </xdr:cNvPr>
        <xdr:cNvSpPr>
          <a:spLocks noChangeShapeType="1"/>
        </xdr:cNvSpPr>
      </xdr:nvSpPr>
      <xdr:spPr bwMode="auto">
        <a:xfrm>
          <a:off x="6153150" y="2752725"/>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400050</xdr:colOff>
      <xdr:row>18</xdr:row>
      <xdr:rowOff>9525</xdr:rowOff>
    </xdr:from>
    <xdr:to>
      <xdr:col>7</xdr:col>
      <xdr:colOff>485775</xdr:colOff>
      <xdr:row>21</xdr:row>
      <xdr:rowOff>104775</xdr:rowOff>
    </xdr:to>
    <xdr:sp macro="" textlink="">
      <xdr:nvSpPr>
        <xdr:cNvPr id="6" name="Rectangle 5">
          <a:extLst>
            <a:ext uri="{FF2B5EF4-FFF2-40B4-BE49-F238E27FC236}">
              <a16:creationId xmlns:a16="http://schemas.microsoft.com/office/drawing/2014/main" id="{1AB2932D-F05A-4B99-A55F-8AFD13EC74E4}"/>
            </a:ext>
          </a:extLst>
        </xdr:cNvPr>
        <xdr:cNvSpPr>
          <a:spLocks noChangeArrowheads="1"/>
        </xdr:cNvSpPr>
      </xdr:nvSpPr>
      <xdr:spPr bwMode="auto">
        <a:xfrm>
          <a:off x="4419600" y="3143250"/>
          <a:ext cx="3543300" cy="609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h'=H(1-tanω/tanβ）+(tanω/sinβ)*hc</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333375</xdr:colOff>
      <xdr:row>21</xdr:row>
      <xdr:rowOff>104775</xdr:rowOff>
    </xdr:from>
    <xdr:to>
      <xdr:col>5</xdr:col>
      <xdr:colOff>333375</xdr:colOff>
      <xdr:row>25</xdr:row>
      <xdr:rowOff>0</xdr:rowOff>
    </xdr:to>
    <xdr:sp macro="" textlink="">
      <xdr:nvSpPr>
        <xdr:cNvPr id="7" name="Line 6">
          <a:extLst>
            <a:ext uri="{FF2B5EF4-FFF2-40B4-BE49-F238E27FC236}">
              <a16:creationId xmlns:a16="http://schemas.microsoft.com/office/drawing/2014/main" id="{C2A20A3D-D984-4205-8F47-51D6190FAD9D}"/>
            </a:ext>
          </a:extLst>
        </xdr:cNvPr>
        <xdr:cNvSpPr>
          <a:spLocks noChangeShapeType="1"/>
        </xdr:cNvSpPr>
      </xdr:nvSpPr>
      <xdr:spPr bwMode="auto">
        <a:xfrm>
          <a:off x="6143625" y="3752850"/>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342900</xdr:colOff>
      <xdr:row>25</xdr:row>
      <xdr:rowOff>28575</xdr:rowOff>
    </xdr:from>
    <xdr:to>
      <xdr:col>6</xdr:col>
      <xdr:colOff>314325</xdr:colOff>
      <xdr:row>28</xdr:row>
      <xdr:rowOff>133350</xdr:rowOff>
    </xdr:to>
    <xdr:sp macro="" textlink="">
      <xdr:nvSpPr>
        <xdr:cNvPr id="8" name="AutoShape 7">
          <a:extLst>
            <a:ext uri="{FF2B5EF4-FFF2-40B4-BE49-F238E27FC236}">
              <a16:creationId xmlns:a16="http://schemas.microsoft.com/office/drawing/2014/main" id="{4CF7E53D-8DC6-4738-800E-F9115FD50DA7}"/>
            </a:ext>
          </a:extLst>
        </xdr:cNvPr>
        <xdr:cNvSpPr>
          <a:spLocks noChangeArrowheads="1"/>
        </xdr:cNvSpPr>
      </xdr:nvSpPr>
      <xdr:spPr bwMode="auto">
        <a:xfrm>
          <a:off x="5048250" y="4362450"/>
          <a:ext cx="2057400" cy="619125"/>
        </a:xfrm>
        <a:prstGeom prst="hexagon">
          <a:avLst>
            <a:gd name="adj" fmla="val 83077"/>
            <a:gd name="vf" fmla="val 11547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Hw≧h'</a:t>
          </a:r>
        </a:p>
      </xdr:txBody>
    </xdr:sp>
    <xdr:clientData/>
  </xdr:twoCellAnchor>
  <xdr:twoCellAnchor>
    <xdr:from>
      <xdr:col>6</xdr:col>
      <xdr:colOff>314325</xdr:colOff>
      <xdr:row>26</xdr:row>
      <xdr:rowOff>161925</xdr:rowOff>
    </xdr:from>
    <xdr:to>
      <xdr:col>7</xdr:col>
      <xdr:colOff>304800</xdr:colOff>
      <xdr:row>26</xdr:row>
      <xdr:rowOff>161925</xdr:rowOff>
    </xdr:to>
    <xdr:sp macro="" textlink="">
      <xdr:nvSpPr>
        <xdr:cNvPr id="9" name="Line 8">
          <a:extLst>
            <a:ext uri="{FF2B5EF4-FFF2-40B4-BE49-F238E27FC236}">
              <a16:creationId xmlns:a16="http://schemas.microsoft.com/office/drawing/2014/main" id="{153C1532-73EF-4EBE-B8EF-A7AD8E827837}"/>
            </a:ext>
          </a:extLst>
        </xdr:cNvPr>
        <xdr:cNvSpPr>
          <a:spLocks noChangeShapeType="1"/>
        </xdr:cNvSpPr>
      </xdr:nvSpPr>
      <xdr:spPr bwMode="auto">
        <a:xfrm>
          <a:off x="7105650" y="4667250"/>
          <a:ext cx="676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295275</xdr:colOff>
      <xdr:row>26</xdr:row>
      <xdr:rowOff>152400</xdr:rowOff>
    </xdr:from>
    <xdr:to>
      <xdr:col>7</xdr:col>
      <xdr:colOff>295275</xdr:colOff>
      <xdr:row>34</xdr:row>
      <xdr:rowOff>0</xdr:rowOff>
    </xdr:to>
    <xdr:sp macro="" textlink="">
      <xdr:nvSpPr>
        <xdr:cNvPr id="10" name="Line 9">
          <a:extLst>
            <a:ext uri="{FF2B5EF4-FFF2-40B4-BE49-F238E27FC236}">
              <a16:creationId xmlns:a16="http://schemas.microsoft.com/office/drawing/2014/main" id="{867BC304-E17B-4E26-B04B-93E6614BDF7B}"/>
            </a:ext>
          </a:extLst>
        </xdr:cNvPr>
        <xdr:cNvSpPr>
          <a:spLocks noChangeShapeType="1"/>
        </xdr:cNvSpPr>
      </xdr:nvSpPr>
      <xdr:spPr bwMode="auto">
        <a:xfrm>
          <a:off x="7772400" y="4657725"/>
          <a:ext cx="0" cy="1219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314325</xdr:colOff>
      <xdr:row>28</xdr:row>
      <xdr:rowOff>133350</xdr:rowOff>
    </xdr:from>
    <xdr:to>
      <xdr:col>5</xdr:col>
      <xdr:colOff>314325</xdr:colOff>
      <xdr:row>34</xdr:row>
      <xdr:rowOff>0</xdr:rowOff>
    </xdr:to>
    <xdr:sp macro="" textlink="">
      <xdr:nvSpPr>
        <xdr:cNvPr id="11" name="Line 10">
          <a:extLst>
            <a:ext uri="{FF2B5EF4-FFF2-40B4-BE49-F238E27FC236}">
              <a16:creationId xmlns:a16="http://schemas.microsoft.com/office/drawing/2014/main" id="{38940567-508C-4DC1-AD80-B70204752FAE}"/>
            </a:ext>
          </a:extLst>
        </xdr:cNvPr>
        <xdr:cNvSpPr>
          <a:spLocks noChangeShapeType="1"/>
        </xdr:cNvSpPr>
      </xdr:nvSpPr>
      <xdr:spPr bwMode="auto">
        <a:xfrm>
          <a:off x="6124575" y="4981575"/>
          <a:ext cx="0" cy="895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323850</xdr:colOff>
      <xdr:row>33</xdr:row>
      <xdr:rowOff>161925</xdr:rowOff>
    </xdr:from>
    <xdr:to>
      <xdr:col>6</xdr:col>
      <xdr:colOff>219075</xdr:colOff>
      <xdr:row>35</xdr:row>
      <xdr:rowOff>161925</xdr:rowOff>
    </xdr:to>
    <xdr:sp macro="" textlink="">
      <xdr:nvSpPr>
        <xdr:cNvPr id="12" name="Rectangle 11">
          <a:extLst>
            <a:ext uri="{FF2B5EF4-FFF2-40B4-BE49-F238E27FC236}">
              <a16:creationId xmlns:a16="http://schemas.microsoft.com/office/drawing/2014/main" id="{16D2726E-4622-4FD9-B6B1-33BD53B00541}"/>
            </a:ext>
          </a:extLst>
        </xdr:cNvPr>
        <xdr:cNvSpPr>
          <a:spLocks noChangeArrowheads="1"/>
        </xdr:cNvSpPr>
      </xdr:nvSpPr>
      <xdr:spPr bwMode="auto">
        <a:xfrm>
          <a:off x="5029200" y="5867400"/>
          <a:ext cx="1981200" cy="342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Case２</a:t>
          </a:r>
        </a:p>
        <a:p>
          <a:pPr algn="ctr" rtl="0">
            <a:lnSpc>
              <a:spcPts val="1300"/>
            </a:lnSpc>
            <a:defRPr sz="1000"/>
          </a:pPr>
          <a:r>
            <a:rPr lang="ja-JP" altLang="en-US" sz="1100" b="0" i="0" u="none" strike="noStrike" baseline="0">
              <a:solidFill>
                <a:srgbClr val="000000"/>
              </a:solidFill>
              <a:latin typeface="ＭＳ Ｐゴシック"/>
              <a:ea typeface="ＭＳ Ｐゴシック"/>
            </a:rPr>
            <a:t>Sheet2</a:t>
          </a:r>
        </a:p>
      </xdr:txBody>
    </xdr:sp>
    <xdr:clientData/>
  </xdr:twoCellAnchor>
  <xdr:twoCellAnchor>
    <xdr:from>
      <xdr:col>6</xdr:col>
      <xdr:colOff>466725</xdr:colOff>
      <xdr:row>34</xdr:row>
      <xdr:rowOff>0</xdr:rowOff>
    </xdr:from>
    <xdr:to>
      <xdr:col>8</xdr:col>
      <xdr:colOff>447675</xdr:colOff>
      <xdr:row>35</xdr:row>
      <xdr:rowOff>152400</xdr:rowOff>
    </xdr:to>
    <xdr:sp macro="" textlink="">
      <xdr:nvSpPr>
        <xdr:cNvPr id="13" name="Rectangle 12">
          <a:extLst>
            <a:ext uri="{FF2B5EF4-FFF2-40B4-BE49-F238E27FC236}">
              <a16:creationId xmlns:a16="http://schemas.microsoft.com/office/drawing/2014/main" id="{475AA03C-4590-4A33-9A35-567250139F00}"/>
            </a:ext>
          </a:extLst>
        </xdr:cNvPr>
        <xdr:cNvSpPr>
          <a:spLocks noChangeArrowheads="1"/>
        </xdr:cNvSpPr>
      </xdr:nvSpPr>
      <xdr:spPr bwMode="auto">
        <a:xfrm>
          <a:off x="7258050" y="5876925"/>
          <a:ext cx="1352550" cy="3238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Case1</a:t>
          </a:r>
        </a:p>
        <a:p>
          <a:pPr algn="ctr" rtl="0">
            <a:lnSpc>
              <a:spcPts val="1300"/>
            </a:lnSpc>
            <a:defRPr sz="1000"/>
          </a:pPr>
          <a:r>
            <a:rPr lang="ja-JP" altLang="en-US" sz="1100" b="0" i="0" u="none" strike="noStrike" baseline="0">
              <a:solidFill>
                <a:srgbClr val="000000"/>
              </a:solidFill>
              <a:latin typeface="ＭＳ Ｐゴシック"/>
              <a:ea typeface="ＭＳ Ｐゴシック"/>
            </a:rPr>
            <a:t>Sheet1</a:t>
          </a:r>
        </a:p>
      </xdr:txBody>
    </xdr:sp>
    <xdr:clientData/>
  </xdr:twoCellAnchor>
  <xdr:twoCellAnchor>
    <xdr:from>
      <xdr:col>5</xdr:col>
      <xdr:colOff>304800</xdr:colOff>
      <xdr:row>36</xdr:row>
      <xdr:rowOff>9525</xdr:rowOff>
    </xdr:from>
    <xdr:to>
      <xdr:col>5</xdr:col>
      <xdr:colOff>304800</xdr:colOff>
      <xdr:row>38</xdr:row>
      <xdr:rowOff>28575</xdr:rowOff>
    </xdr:to>
    <xdr:sp macro="" textlink="">
      <xdr:nvSpPr>
        <xdr:cNvPr id="14" name="Line 13">
          <a:extLst>
            <a:ext uri="{FF2B5EF4-FFF2-40B4-BE49-F238E27FC236}">
              <a16:creationId xmlns:a16="http://schemas.microsoft.com/office/drawing/2014/main" id="{FFF2D000-B074-4A8D-8FF6-83426CEC5CEB}"/>
            </a:ext>
          </a:extLst>
        </xdr:cNvPr>
        <xdr:cNvSpPr>
          <a:spLocks noChangeShapeType="1"/>
        </xdr:cNvSpPr>
      </xdr:nvSpPr>
      <xdr:spPr bwMode="auto">
        <a:xfrm>
          <a:off x="6115050" y="6229350"/>
          <a:ext cx="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285750</xdr:colOff>
      <xdr:row>36</xdr:row>
      <xdr:rowOff>19050</xdr:rowOff>
    </xdr:from>
    <xdr:to>
      <xdr:col>7</xdr:col>
      <xdr:colOff>285750</xdr:colOff>
      <xdr:row>38</xdr:row>
      <xdr:rowOff>28575</xdr:rowOff>
    </xdr:to>
    <xdr:sp macro="" textlink="">
      <xdr:nvSpPr>
        <xdr:cNvPr id="15" name="Line 14">
          <a:extLst>
            <a:ext uri="{FF2B5EF4-FFF2-40B4-BE49-F238E27FC236}">
              <a16:creationId xmlns:a16="http://schemas.microsoft.com/office/drawing/2014/main" id="{9E7CBF0C-ABC7-4BE9-96B0-0DB4A80083F4}"/>
            </a:ext>
          </a:extLst>
        </xdr:cNvPr>
        <xdr:cNvSpPr>
          <a:spLocks noChangeShapeType="1"/>
        </xdr:cNvSpPr>
      </xdr:nvSpPr>
      <xdr:spPr bwMode="auto">
        <a:xfrm>
          <a:off x="7762875" y="62388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38</xdr:row>
      <xdr:rowOff>9525</xdr:rowOff>
    </xdr:from>
    <xdr:to>
      <xdr:col>5</xdr:col>
      <xdr:colOff>590550</xdr:colOff>
      <xdr:row>39</xdr:row>
      <xdr:rowOff>161925</xdr:rowOff>
    </xdr:to>
    <xdr:sp macro="" textlink="">
      <xdr:nvSpPr>
        <xdr:cNvPr id="16" name="Rectangle 15">
          <a:extLst>
            <a:ext uri="{FF2B5EF4-FFF2-40B4-BE49-F238E27FC236}">
              <a16:creationId xmlns:a16="http://schemas.microsoft.com/office/drawing/2014/main" id="{84349068-A1D3-4939-9BAF-B5C554227D4A}"/>
            </a:ext>
          </a:extLst>
        </xdr:cNvPr>
        <xdr:cNvSpPr>
          <a:spLocks noChangeArrowheads="1"/>
        </xdr:cNvSpPr>
      </xdr:nvSpPr>
      <xdr:spPr bwMode="auto">
        <a:xfrm>
          <a:off x="5810250" y="6572250"/>
          <a:ext cx="590550" cy="3238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Fs2</a:t>
          </a:r>
        </a:p>
      </xdr:txBody>
    </xdr:sp>
    <xdr:clientData/>
  </xdr:twoCellAnchor>
  <xdr:twoCellAnchor>
    <xdr:from>
      <xdr:col>7</xdr:col>
      <xdr:colOff>0</xdr:colOff>
      <xdr:row>38</xdr:row>
      <xdr:rowOff>0</xdr:rowOff>
    </xdr:from>
    <xdr:to>
      <xdr:col>7</xdr:col>
      <xdr:colOff>590550</xdr:colOff>
      <xdr:row>39</xdr:row>
      <xdr:rowOff>161925</xdr:rowOff>
    </xdr:to>
    <xdr:sp macro="" textlink="">
      <xdr:nvSpPr>
        <xdr:cNvPr id="17" name="Rectangle 16">
          <a:extLst>
            <a:ext uri="{FF2B5EF4-FFF2-40B4-BE49-F238E27FC236}">
              <a16:creationId xmlns:a16="http://schemas.microsoft.com/office/drawing/2014/main" id="{6751AC23-5ADA-4B89-8A4A-F733C3F5B817}"/>
            </a:ext>
          </a:extLst>
        </xdr:cNvPr>
        <xdr:cNvSpPr>
          <a:spLocks noChangeArrowheads="1"/>
        </xdr:cNvSpPr>
      </xdr:nvSpPr>
      <xdr:spPr bwMode="auto">
        <a:xfrm>
          <a:off x="7477125" y="6562725"/>
          <a:ext cx="590550"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Fs1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1114425</xdr:colOff>
      <xdr:row>41</xdr:row>
      <xdr:rowOff>95250</xdr:rowOff>
    </xdr:from>
    <xdr:to>
      <xdr:col>1</xdr:col>
      <xdr:colOff>2114550</xdr:colOff>
      <xdr:row>41</xdr:row>
      <xdr:rowOff>95250</xdr:rowOff>
    </xdr:to>
    <xdr:sp macro="" textlink="">
      <xdr:nvSpPr>
        <xdr:cNvPr id="2" name="Line 5">
          <a:extLst>
            <a:ext uri="{FF2B5EF4-FFF2-40B4-BE49-F238E27FC236}">
              <a16:creationId xmlns:a16="http://schemas.microsoft.com/office/drawing/2014/main" id="{9F7D8DA7-7757-4A01-A1AB-42559402E527}"/>
            </a:ext>
          </a:extLst>
        </xdr:cNvPr>
        <xdr:cNvSpPr>
          <a:spLocks noChangeShapeType="1"/>
        </xdr:cNvSpPr>
      </xdr:nvSpPr>
      <xdr:spPr bwMode="auto">
        <a:xfrm>
          <a:off x="1685925" y="9563100"/>
          <a:ext cx="1000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2</xdr:row>
      <xdr:rowOff>219075</xdr:rowOff>
    </xdr:from>
    <xdr:to>
      <xdr:col>4</xdr:col>
      <xdr:colOff>0</xdr:colOff>
      <xdr:row>3</xdr:row>
      <xdr:rowOff>219075</xdr:rowOff>
    </xdr:to>
    <xdr:sp macro="" textlink="">
      <xdr:nvSpPr>
        <xdr:cNvPr id="3" name="Line 13">
          <a:extLst>
            <a:ext uri="{FF2B5EF4-FFF2-40B4-BE49-F238E27FC236}">
              <a16:creationId xmlns:a16="http://schemas.microsoft.com/office/drawing/2014/main" id="{F7FBE006-7345-4D0A-9392-557ACFA248DF}"/>
            </a:ext>
          </a:extLst>
        </xdr:cNvPr>
        <xdr:cNvSpPr>
          <a:spLocks noChangeShapeType="1"/>
        </xdr:cNvSpPr>
      </xdr:nvSpPr>
      <xdr:spPr bwMode="auto">
        <a:xfrm flipV="1">
          <a:off x="9134475" y="800100"/>
          <a:ext cx="0"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1114425</xdr:colOff>
      <xdr:row>41</xdr:row>
      <xdr:rowOff>95250</xdr:rowOff>
    </xdr:from>
    <xdr:to>
      <xdr:col>1</xdr:col>
      <xdr:colOff>2114550</xdr:colOff>
      <xdr:row>41</xdr:row>
      <xdr:rowOff>95250</xdr:rowOff>
    </xdr:to>
    <xdr:sp macro="" textlink="">
      <xdr:nvSpPr>
        <xdr:cNvPr id="2" name="Line 1">
          <a:extLst>
            <a:ext uri="{FF2B5EF4-FFF2-40B4-BE49-F238E27FC236}">
              <a16:creationId xmlns:a16="http://schemas.microsoft.com/office/drawing/2014/main" id="{22D7B732-5E2F-4F92-B2FD-3619B4BC624E}"/>
            </a:ext>
          </a:extLst>
        </xdr:cNvPr>
        <xdr:cNvSpPr>
          <a:spLocks noChangeShapeType="1"/>
        </xdr:cNvSpPr>
      </xdr:nvSpPr>
      <xdr:spPr bwMode="auto">
        <a:xfrm>
          <a:off x="1685925" y="9563100"/>
          <a:ext cx="1000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0</xdr:colOff>
      <xdr:row>3</xdr:row>
      <xdr:rowOff>200025</xdr:rowOff>
    </xdr:from>
    <xdr:to>
      <xdr:col>13</xdr:col>
      <xdr:colOff>561975</xdr:colOff>
      <xdr:row>18</xdr:row>
      <xdr:rowOff>190500</xdr:rowOff>
    </xdr:to>
    <xdr:pic>
      <xdr:nvPicPr>
        <xdr:cNvPr id="2" name="Picture 1">
          <a:extLst>
            <a:ext uri="{FF2B5EF4-FFF2-40B4-BE49-F238E27FC236}">
              <a16:creationId xmlns:a16="http://schemas.microsoft.com/office/drawing/2014/main" id="{68602DF6-D1C4-4AD9-A55F-EDC2E15D56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1009650"/>
          <a:ext cx="3990975" cy="341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38100</xdr:colOff>
      <xdr:row>13</xdr:row>
      <xdr:rowOff>142875</xdr:rowOff>
    </xdr:from>
    <xdr:to>
      <xdr:col>8</xdr:col>
      <xdr:colOff>619125</xdr:colOff>
      <xdr:row>14</xdr:row>
      <xdr:rowOff>180975</xdr:rowOff>
    </xdr:to>
    <xdr:sp macro="" textlink="">
      <xdr:nvSpPr>
        <xdr:cNvPr id="3" name="Text Box 4">
          <a:extLst>
            <a:ext uri="{FF2B5EF4-FFF2-40B4-BE49-F238E27FC236}">
              <a16:creationId xmlns:a16="http://schemas.microsoft.com/office/drawing/2014/main" id="{70AFDF83-6A45-48F6-9124-386423113BB7}"/>
            </a:ext>
          </a:extLst>
        </xdr:cNvPr>
        <xdr:cNvSpPr txBox="1">
          <a:spLocks noChangeArrowheads="1"/>
        </xdr:cNvSpPr>
      </xdr:nvSpPr>
      <xdr:spPr bwMode="auto">
        <a:xfrm>
          <a:off x="8677275" y="3238500"/>
          <a:ext cx="581025"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1104900</xdr:colOff>
      <xdr:row>26</xdr:row>
      <xdr:rowOff>95250</xdr:rowOff>
    </xdr:from>
    <xdr:to>
      <xdr:col>1</xdr:col>
      <xdr:colOff>2009775</xdr:colOff>
      <xdr:row>26</xdr:row>
      <xdr:rowOff>95250</xdr:rowOff>
    </xdr:to>
    <xdr:sp macro="" textlink="">
      <xdr:nvSpPr>
        <xdr:cNvPr id="4" name="Line 5">
          <a:extLst>
            <a:ext uri="{FF2B5EF4-FFF2-40B4-BE49-F238E27FC236}">
              <a16:creationId xmlns:a16="http://schemas.microsoft.com/office/drawing/2014/main" id="{E158C113-6B48-42ED-8AD8-1C8FF76E56F1}"/>
            </a:ext>
          </a:extLst>
        </xdr:cNvPr>
        <xdr:cNvSpPr>
          <a:spLocks noChangeShapeType="1"/>
        </xdr:cNvSpPr>
      </xdr:nvSpPr>
      <xdr:spPr bwMode="auto">
        <a:xfrm>
          <a:off x="1676400" y="613410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7</xdr:col>
      <xdr:colOff>742950</xdr:colOff>
      <xdr:row>23</xdr:row>
      <xdr:rowOff>19050</xdr:rowOff>
    </xdr:from>
    <xdr:to>
      <xdr:col>14</xdr:col>
      <xdr:colOff>0</xdr:colOff>
      <xdr:row>36</xdr:row>
      <xdr:rowOff>0</xdr:rowOff>
    </xdr:to>
    <xdr:pic>
      <xdr:nvPicPr>
        <xdr:cNvPr id="5" name="Picture 6">
          <a:extLst>
            <a:ext uri="{FF2B5EF4-FFF2-40B4-BE49-F238E27FC236}">
              <a16:creationId xmlns:a16="http://schemas.microsoft.com/office/drawing/2014/main" id="{C449174C-3ACE-4928-A4E5-03ED0655838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29650" y="5400675"/>
          <a:ext cx="4124325"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1095375</xdr:colOff>
      <xdr:row>27</xdr:row>
      <xdr:rowOff>95250</xdr:rowOff>
    </xdr:from>
    <xdr:to>
      <xdr:col>1</xdr:col>
      <xdr:colOff>2000250</xdr:colOff>
      <xdr:row>27</xdr:row>
      <xdr:rowOff>95250</xdr:rowOff>
    </xdr:to>
    <xdr:sp macro="" textlink="">
      <xdr:nvSpPr>
        <xdr:cNvPr id="2" name="Line 7">
          <a:extLst>
            <a:ext uri="{FF2B5EF4-FFF2-40B4-BE49-F238E27FC236}">
              <a16:creationId xmlns:a16="http://schemas.microsoft.com/office/drawing/2014/main" id="{FD9920B1-FE61-436D-BA80-E51D0A52495C}"/>
            </a:ext>
          </a:extLst>
        </xdr:cNvPr>
        <xdr:cNvSpPr>
          <a:spLocks noChangeShapeType="1"/>
        </xdr:cNvSpPr>
      </xdr:nvSpPr>
      <xdr:spPr bwMode="auto">
        <a:xfrm>
          <a:off x="1628775" y="636270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86;&#12540;&#12497;&#12540;&#21270;&#35206;&#22303;&#35299;&#26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判別"/>
      <sheetName val="テーパー化間隙圧有りSheet1"/>
      <sheetName val="テーパー化間隙圧有りSheet2"/>
      <sheetName val="テーパー化間隙圧なし"/>
      <sheetName val="　テーパー化・地震"/>
    </sheetNames>
    <sheetDataSet>
      <sheetData sheetId="0" refreshError="1"/>
      <sheetData sheetId="1" refreshError="1"/>
      <sheetData sheetId="2">
        <row r="36">
          <cell r="E36">
            <v>1.386327091303251</v>
          </cell>
        </row>
        <row r="37">
          <cell r="E37">
            <v>2</v>
          </cell>
        </row>
      </sheetData>
      <sheetData sheetId="3">
        <row r="36">
          <cell r="E36">
            <v>1.3516604169561053</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FA2EF-367B-4193-9186-A1B928A52393}">
  <dimension ref="A1:H44"/>
  <sheetViews>
    <sheetView topLeftCell="C10" workbookViewId="0">
      <selection activeCell="C15" sqref="C15"/>
    </sheetView>
  </sheetViews>
  <sheetFormatPr defaultRowHeight="13.5" x14ac:dyDescent="0.15"/>
  <cols>
    <col min="1" max="1" width="6.875" style="1" customWidth="1"/>
    <col min="2" max="2" width="24.125" style="1" customWidth="1"/>
    <col min="3" max="3" width="53.25" style="1" bestFit="1" customWidth="1"/>
    <col min="4" max="4" width="7.75" style="1" customWidth="1"/>
    <col min="5" max="7" width="8.5" style="1" customWidth="1"/>
    <col min="8" max="256" width="9" style="1"/>
    <col min="257" max="257" width="6.875" style="1" customWidth="1"/>
    <col min="258" max="258" width="24.125" style="1" customWidth="1"/>
    <col min="259" max="259" width="53.25" style="1" bestFit="1" customWidth="1"/>
    <col min="260" max="260" width="7.75" style="1" customWidth="1"/>
    <col min="261" max="263" width="8.5" style="1" customWidth="1"/>
    <col min="264" max="512" width="9" style="1"/>
    <col min="513" max="513" width="6.875" style="1" customWidth="1"/>
    <col min="514" max="514" width="24.125" style="1" customWidth="1"/>
    <col min="515" max="515" width="53.25" style="1" bestFit="1" customWidth="1"/>
    <col min="516" max="516" width="7.75" style="1" customWidth="1"/>
    <col min="517" max="519" width="8.5" style="1" customWidth="1"/>
    <col min="520" max="768" width="9" style="1"/>
    <col min="769" max="769" width="6.875" style="1" customWidth="1"/>
    <col min="770" max="770" width="24.125" style="1" customWidth="1"/>
    <col min="771" max="771" width="53.25" style="1" bestFit="1" customWidth="1"/>
    <col min="772" max="772" width="7.75" style="1" customWidth="1"/>
    <col min="773" max="775" width="8.5" style="1" customWidth="1"/>
    <col min="776" max="1024" width="9" style="1"/>
    <col min="1025" max="1025" width="6.875" style="1" customWidth="1"/>
    <col min="1026" max="1026" width="24.125" style="1" customWidth="1"/>
    <col min="1027" max="1027" width="53.25" style="1" bestFit="1" customWidth="1"/>
    <col min="1028" max="1028" width="7.75" style="1" customWidth="1"/>
    <col min="1029" max="1031" width="8.5" style="1" customWidth="1"/>
    <col min="1032" max="1280" width="9" style="1"/>
    <col min="1281" max="1281" width="6.875" style="1" customWidth="1"/>
    <col min="1282" max="1282" width="24.125" style="1" customWidth="1"/>
    <col min="1283" max="1283" width="53.25" style="1" bestFit="1" customWidth="1"/>
    <col min="1284" max="1284" width="7.75" style="1" customWidth="1"/>
    <col min="1285" max="1287" width="8.5" style="1" customWidth="1"/>
    <col min="1288" max="1536" width="9" style="1"/>
    <col min="1537" max="1537" width="6.875" style="1" customWidth="1"/>
    <col min="1538" max="1538" width="24.125" style="1" customWidth="1"/>
    <col min="1539" max="1539" width="53.25" style="1" bestFit="1" customWidth="1"/>
    <col min="1540" max="1540" width="7.75" style="1" customWidth="1"/>
    <col min="1541" max="1543" width="8.5" style="1" customWidth="1"/>
    <col min="1544" max="1792" width="9" style="1"/>
    <col min="1793" max="1793" width="6.875" style="1" customWidth="1"/>
    <col min="1794" max="1794" width="24.125" style="1" customWidth="1"/>
    <col min="1795" max="1795" width="53.25" style="1" bestFit="1" customWidth="1"/>
    <col min="1796" max="1796" width="7.75" style="1" customWidth="1"/>
    <col min="1797" max="1799" width="8.5" style="1" customWidth="1"/>
    <col min="1800" max="2048" width="9" style="1"/>
    <col min="2049" max="2049" width="6.875" style="1" customWidth="1"/>
    <col min="2050" max="2050" width="24.125" style="1" customWidth="1"/>
    <col min="2051" max="2051" width="53.25" style="1" bestFit="1" customWidth="1"/>
    <col min="2052" max="2052" width="7.75" style="1" customWidth="1"/>
    <col min="2053" max="2055" width="8.5" style="1" customWidth="1"/>
    <col min="2056" max="2304" width="9" style="1"/>
    <col min="2305" max="2305" width="6.875" style="1" customWidth="1"/>
    <col min="2306" max="2306" width="24.125" style="1" customWidth="1"/>
    <col min="2307" max="2307" width="53.25" style="1" bestFit="1" customWidth="1"/>
    <col min="2308" max="2308" width="7.75" style="1" customWidth="1"/>
    <col min="2309" max="2311" width="8.5" style="1" customWidth="1"/>
    <col min="2312" max="2560" width="9" style="1"/>
    <col min="2561" max="2561" width="6.875" style="1" customWidth="1"/>
    <col min="2562" max="2562" width="24.125" style="1" customWidth="1"/>
    <col min="2563" max="2563" width="53.25" style="1" bestFit="1" customWidth="1"/>
    <col min="2564" max="2564" width="7.75" style="1" customWidth="1"/>
    <col min="2565" max="2567" width="8.5" style="1" customWidth="1"/>
    <col min="2568" max="2816" width="9" style="1"/>
    <col min="2817" max="2817" width="6.875" style="1" customWidth="1"/>
    <col min="2818" max="2818" width="24.125" style="1" customWidth="1"/>
    <col min="2819" max="2819" width="53.25" style="1" bestFit="1" customWidth="1"/>
    <col min="2820" max="2820" width="7.75" style="1" customWidth="1"/>
    <col min="2821" max="2823" width="8.5" style="1" customWidth="1"/>
    <col min="2824" max="3072" width="9" style="1"/>
    <col min="3073" max="3073" width="6.875" style="1" customWidth="1"/>
    <col min="3074" max="3074" width="24.125" style="1" customWidth="1"/>
    <col min="3075" max="3075" width="53.25" style="1" bestFit="1" customWidth="1"/>
    <col min="3076" max="3076" width="7.75" style="1" customWidth="1"/>
    <col min="3077" max="3079" width="8.5" style="1" customWidth="1"/>
    <col min="3080" max="3328" width="9" style="1"/>
    <col min="3329" max="3329" width="6.875" style="1" customWidth="1"/>
    <col min="3330" max="3330" width="24.125" style="1" customWidth="1"/>
    <col min="3331" max="3331" width="53.25" style="1" bestFit="1" customWidth="1"/>
    <col min="3332" max="3332" width="7.75" style="1" customWidth="1"/>
    <col min="3333" max="3335" width="8.5" style="1" customWidth="1"/>
    <col min="3336" max="3584" width="9" style="1"/>
    <col min="3585" max="3585" width="6.875" style="1" customWidth="1"/>
    <col min="3586" max="3586" width="24.125" style="1" customWidth="1"/>
    <col min="3587" max="3587" width="53.25" style="1" bestFit="1" customWidth="1"/>
    <col min="3588" max="3588" width="7.75" style="1" customWidth="1"/>
    <col min="3589" max="3591" width="8.5" style="1" customWidth="1"/>
    <col min="3592" max="3840" width="9" style="1"/>
    <col min="3841" max="3841" width="6.875" style="1" customWidth="1"/>
    <col min="3842" max="3842" width="24.125" style="1" customWidth="1"/>
    <col min="3843" max="3843" width="53.25" style="1" bestFit="1" customWidth="1"/>
    <col min="3844" max="3844" width="7.75" style="1" customWidth="1"/>
    <col min="3845" max="3847" width="8.5" style="1" customWidth="1"/>
    <col min="3848" max="4096" width="9" style="1"/>
    <col min="4097" max="4097" width="6.875" style="1" customWidth="1"/>
    <col min="4098" max="4098" width="24.125" style="1" customWidth="1"/>
    <col min="4099" max="4099" width="53.25" style="1" bestFit="1" customWidth="1"/>
    <col min="4100" max="4100" width="7.75" style="1" customWidth="1"/>
    <col min="4101" max="4103" width="8.5" style="1" customWidth="1"/>
    <col min="4104" max="4352" width="9" style="1"/>
    <col min="4353" max="4353" width="6.875" style="1" customWidth="1"/>
    <col min="4354" max="4354" width="24.125" style="1" customWidth="1"/>
    <col min="4355" max="4355" width="53.25" style="1" bestFit="1" customWidth="1"/>
    <col min="4356" max="4356" width="7.75" style="1" customWidth="1"/>
    <col min="4357" max="4359" width="8.5" style="1" customWidth="1"/>
    <col min="4360" max="4608" width="9" style="1"/>
    <col min="4609" max="4609" width="6.875" style="1" customWidth="1"/>
    <col min="4610" max="4610" width="24.125" style="1" customWidth="1"/>
    <col min="4611" max="4611" width="53.25" style="1" bestFit="1" customWidth="1"/>
    <col min="4612" max="4612" width="7.75" style="1" customWidth="1"/>
    <col min="4613" max="4615" width="8.5" style="1" customWidth="1"/>
    <col min="4616" max="4864" width="9" style="1"/>
    <col min="4865" max="4865" width="6.875" style="1" customWidth="1"/>
    <col min="4866" max="4866" width="24.125" style="1" customWidth="1"/>
    <col min="4867" max="4867" width="53.25" style="1" bestFit="1" customWidth="1"/>
    <col min="4868" max="4868" width="7.75" style="1" customWidth="1"/>
    <col min="4869" max="4871" width="8.5" style="1" customWidth="1"/>
    <col min="4872" max="5120" width="9" style="1"/>
    <col min="5121" max="5121" width="6.875" style="1" customWidth="1"/>
    <col min="5122" max="5122" width="24.125" style="1" customWidth="1"/>
    <col min="5123" max="5123" width="53.25" style="1" bestFit="1" customWidth="1"/>
    <col min="5124" max="5124" width="7.75" style="1" customWidth="1"/>
    <col min="5125" max="5127" width="8.5" style="1" customWidth="1"/>
    <col min="5128" max="5376" width="9" style="1"/>
    <col min="5377" max="5377" width="6.875" style="1" customWidth="1"/>
    <col min="5378" max="5378" width="24.125" style="1" customWidth="1"/>
    <col min="5379" max="5379" width="53.25" style="1" bestFit="1" customWidth="1"/>
    <col min="5380" max="5380" width="7.75" style="1" customWidth="1"/>
    <col min="5381" max="5383" width="8.5" style="1" customWidth="1"/>
    <col min="5384" max="5632" width="9" style="1"/>
    <col min="5633" max="5633" width="6.875" style="1" customWidth="1"/>
    <col min="5634" max="5634" width="24.125" style="1" customWidth="1"/>
    <col min="5635" max="5635" width="53.25" style="1" bestFit="1" customWidth="1"/>
    <col min="5636" max="5636" width="7.75" style="1" customWidth="1"/>
    <col min="5637" max="5639" width="8.5" style="1" customWidth="1"/>
    <col min="5640" max="5888" width="9" style="1"/>
    <col min="5889" max="5889" width="6.875" style="1" customWidth="1"/>
    <col min="5890" max="5890" width="24.125" style="1" customWidth="1"/>
    <col min="5891" max="5891" width="53.25" style="1" bestFit="1" customWidth="1"/>
    <col min="5892" max="5892" width="7.75" style="1" customWidth="1"/>
    <col min="5893" max="5895" width="8.5" style="1" customWidth="1"/>
    <col min="5896" max="6144" width="9" style="1"/>
    <col min="6145" max="6145" width="6.875" style="1" customWidth="1"/>
    <col min="6146" max="6146" width="24.125" style="1" customWidth="1"/>
    <col min="6147" max="6147" width="53.25" style="1" bestFit="1" customWidth="1"/>
    <col min="6148" max="6148" width="7.75" style="1" customWidth="1"/>
    <col min="6149" max="6151" width="8.5" style="1" customWidth="1"/>
    <col min="6152" max="6400" width="9" style="1"/>
    <col min="6401" max="6401" width="6.875" style="1" customWidth="1"/>
    <col min="6402" max="6402" width="24.125" style="1" customWidth="1"/>
    <col min="6403" max="6403" width="53.25" style="1" bestFit="1" customWidth="1"/>
    <col min="6404" max="6404" width="7.75" style="1" customWidth="1"/>
    <col min="6405" max="6407" width="8.5" style="1" customWidth="1"/>
    <col min="6408" max="6656" width="9" style="1"/>
    <col min="6657" max="6657" width="6.875" style="1" customWidth="1"/>
    <col min="6658" max="6658" width="24.125" style="1" customWidth="1"/>
    <col min="6659" max="6659" width="53.25" style="1" bestFit="1" customWidth="1"/>
    <col min="6660" max="6660" width="7.75" style="1" customWidth="1"/>
    <col min="6661" max="6663" width="8.5" style="1" customWidth="1"/>
    <col min="6664" max="6912" width="9" style="1"/>
    <col min="6913" max="6913" width="6.875" style="1" customWidth="1"/>
    <col min="6914" max="6914" width="24.125" style="1" customWidth="1"/>
    <col min="6915" max="6915" width="53.25" style="1" bestFit="1" customWidth="1"/>
    <col min="6916" max="6916" width="7.75" style="1" customWidth="1"/>
    <col min="6917" max="6919" width="8.5" style="1" customWidth="1"/>
    <col min="6920" max="7168" width="9" style="1"/>
    <col min="7169" max="7169" width="6.875" style="1" customWidth="1"/>
    <col min="7170" max="7170" width="24.125" style="1" customWidth="1"/>
    <col min="7171" max="7171" width="53.25" style="1" bestFit="1" customWidth="1"/>
    <col min="7172" max="7172" width="7.75" style="1" customWidth="1"/>
    <col min="7173" max="7175" width="8.5" style="1" customWidth="1"/>
    <col min="7176" max="7424" width="9" style="1"/>
    <col min="7425" max="7425" width="6.875" style="1" customWidth="1"/>
    <col min="7426" max="7426" width="24.125" style="1" customWidth="1"/>
    <col min="7427" max="7427" width="53.25" style="1" bestFit="1" customWidth="1"/>
    <col min="7428" max="7428" width="7.75" style="1" customWidth="1"/>
    <col min="7429" max="7431" width="8.5" style="1" customWidth="1"/>
    <col min="7432" max="7680" width="9" style="1"/>
    <col min="7681" max="7681" width="6.875" style="1" customWidth="1"/>
    <col min="7682" max="7682" width="24.125" style="1" customWidth="1"/>
    <col min="7683" max="7683" width="53.25" style="1" bestFit="1" customWidth="1"/>
    <col min="7684" max="7684" width="7.75" style="1" customWidth="1"/>
    <col min="7685" max="7687" width="8.5" style="1" customWidth="1"/>
    <col min="7688" max="7936" width="9" style="1"/>
    <col min="7937" max="7937" width="6.875" style="1" customWidth="1"/>
    <col min="7938" max="7938" width="24.125" style="1" customWidth="1"/>
    <col min="7939" max="7939" width="53.25" style="1" bestFit="1" customWidth="1"/>
    <col min="7940" max="7940" width="7.75" style="1" customWidth="1"/>
    <col min="7941" max="7943" width="8.5" style="1" customWidth="1"/>
    <col min="7944" max="8192" width="9" style="1"/>
    <col min="8193" max="8193" width="6.875" style="1" customWidth="1"/>
    <col min="8194" max="8194" width="24.125" style="1" customWidth="1"/>
    <col min="8195" max="8195" width="53.25" style="1" bestFit="1" customWidth="1"/>
    <col min="8196" max="8196" width="7.75" style="1" customWidth="1"/>
    <col min="8197" max="8199" width="8.5" style="1" customWidth="1"/>
    <col min="8200" max="8448" width="9" style="1"/>
    <col min="8449" max="8449" width="6.875" style="1" customWidth="1"/>
    <col min="8450" max="8450" width="24.125" style="1" customWidth="1"/>
    <col min="8451" max="8451" width="53.25" style="1" bestFit="1" customWidth="1"/>
    <col min="8452" max="8452" width="7.75" style="1" customWidth="1"/>
    <col min="8453" max="8455" width="8.5" style="1" customWidth="1"/>
    <col min="8456" max="8704" width="9" style="1"/>
    <col min="8705" max="8705" width="6.875" style="1" customWidth="1"/>
    <col min="8706" max="8706" width="24.125" style="1" customWidth="1"/>
    <col min="8707" max="8707" width="53.25" style="1" bestFit="1" customWidth="1"/>
    <col min="8708" max="8708" width="7.75" style="1" customWidth="1"/>
    <col min="8709" max="8711" width="8.5" style="1" customWidth="1"/>
    <col min="8712" max="8960" width="9" style="1"/>
    <col min="8961" max="8961" width="6.875" style="1" customWidth="1"/>
    <col min="8962" max="8962" width="24.125" style="1" customWidth="1"/>
    <col min="8963" max="8963" width="53.25" style="1" bestFit="1" customWidth="1"/>
    <col min="8964" max="8964" width="7.75" style="1" customWidth="1"/>
    <col min="8965" max="8967" width="8.5" style="1" customWidth="1"/>
    <col min="8968" max="9216" width="9" style="1"/>
    <col min="9217" max="9217" width="6.875" style="1" customWidth="1"/>
    <col min="9218" max="9218" width="24.125" style="1" customWidth="1"/>
    <col min="9219" max="9219" width="53.25" style="1" bestFit="1" customWidth="1"/>
    <col min="9220" max="9220" width="7.75" style="1" customWidth="1"/>
    <col min="9221" max="9223" width="8.5" style="1" customWidth="1"/>
    <col min="9224" max="9472" width="9" style="1"/>
    <col min="9473" max="9473" width="6.875" style="1" customWidth="1"/>
    <col min="9474" max="9474" width="24.125" style="1" customWidth="1"/>
    <col min="9475" max="9475" width="53.25" style="1" bestFit="1" customWidth="1"/>
    <col min="9476" max="9476" width="7.75" style="1" customWidth="1"/>
    <col min="9477" max="9479" width="8.5" style="1" customWidth="1"/>
    <col min="9480" max="9728" width="9" style="1"/>
    <col min="9729" max="9729" width="6.875" style="1" customWidth="1"/>
    <col min="9730" max="9730" width="24.125" style="1" customWidth="1"/>
    <col min="9731" max="9731" width="53.25" style="1" bestFit="1" customWidth="1"/>
    <col min="9732" max="9732" width="7.75" style="1" customWidth="1"/>
    <col min="9733" max="9735" width="8.5" style="1" customWidth="1"/>
    <col min="9736" max="9984" width="9" style="1"/>
    <col min="9985" max="9985" width="6.875" style="1" customWidth="1"/>
    <col min="9986" max="9986" width="24.125" style="1" customWidth="1"/>
    <col min="9987" max="9987" width="53.25" style="1" bestFit="1" customWidth="1"/>
    <col min="9988" max="9988" width="7.75" style="1" customWidth="1"/>
    <col min="9989" max="9991" width="8.5" style="1" customWidth="1"/>
    <col min="9992" max="10240" width="9" style="1"/>
    <col min="10241" max="10241" width="6.875" style="1" customWidth="1"/>
    <col min="10242" max="10242" width="24.125" style="1" customWidth="1"/>
    <col min="10243" max="10243" width="53.25" style="1" bestFit="1" customWidth="1"/>
    <col min="10244" max="10244" width="7.75" style="1" customWidth="1"/>
    <col min="10245" max="10247" width="8.5" style="1" customWidth="1"/>
    <col min="10248" max="10496" width="9" style="1"/>
    <col min="10497" max="10497" width="6.875" style="1" customWidth="1"/>
    <col min="10498" max="10498" width="24.125" style="1" customWidth="1"/>
    <col min="10499" max="10499" width="53.25" style="1" bestFit="1" customWidth="1"/>
    <col min="10500" max="10500" width="7.75" style="1" customWidth="1"/>
    <col min="10501" max="10503" width="8.5" style="1" customWidth="1"/>
    <col min="10504" max="10752" width="9" style="1"/>
    <col min="10753" max="10753" width="6.875" style="1" customWidth="1"/>
    <col min="10754" max="10754" width="24.125" style="1" customWidth="1"/>
    <col min="10755" max="10755" width="53.25" style="1" bestFit="1" customWidth="1"/>
    <col min="10756" max="10756" width="7.75" style="1" customWidth="1"/>
    <col min="10757" max="10759" width="8.5" style="1" customWidth="1"/>
    <col min="10760" max="11008" width="9" style="1"/>
    <col min="11009" max="11009" width="6.875" style="1" customWidth="1"/>
    <col min="11010" max="11010" width="24.125" style="1" customWidth="1"/>
    <col min="11011" max="11011" width="53.25" style="1" bestFit="1" customWidth="1"/>
    <col min="11012" max="11012" width="7.75" style="1" customWidth="1"/>
    <col min="11013" max="11015" width="8.5" style="1" customWidth="1"/>
    <col min="11016" max="11264" width="9" style="1"/>
    <col min="11265" max="11265" width="6.875" style="1" customWidth="1"/>
    <col min="11266" max="11266" width="24.125" style="1" customWidth="1"/>
    <col min="11267" max="11267" width="53.25" style="1" bestFit="1" customWidth="1"/>
    <col min="11268" max="11268" width="7.75" style="1" customWidth="1"/>
    <col min="11269" max="11271" width="8.5" style="1" customWidth="1"/>
    <col min="11272" max="11520" width="9" style="1"/>
    <col min="11521" max="11521" width="6.875" style="1" customWidth="1"/>
    <col min="11522" max="11522" width="24.125" style="1" customWidth="1"/>
    <col min="11523" max="11523" width="53.25" style="1" bestFit="1" customWidth="1"/>
    <col min="11524" max="11524" width="7.75" style="1" customWidth="1"/>
    <col min="11525" max="11527" width="8.5" style="1" customWidth="1"/>
    <col min="11528" max="11776" width="9" style="1"/>
    <col min="11777" max="11777" width="6.875" style="1" customWidth="1"/>
    <col min="11778" max="11778" width="24.125" style="1" customWidth="1"/>
    <col min="11779" max="11779" width="53.25" style="1" bestFit="1" customWidth="1"/>
    <col min="11780" max="11780" width="7.75" style="1" customWidth="1"/>
    <col min="11781" max="11783" width="8.5" style="1" customWidth="1"/>
    <col min="11784" max="12032" width="9" style="1"/>
    <col min="12033" max="12033" width="6.875" style="1" customWidth="1"/>
    <col min="12034" max="12034" width="24.125" style="1" customWidth="1"/>
    <col min="12035" max="12035" width="53.25" style="1" bestFit="1" customWidth="1"/>
    <col min="12036" max="12036" width="7.75" style="1" customWidth="1"/>
    <col min="12037" max="12039" width="8.5" style="1" customWidth="1"/>
    <col min="12040" max="12288" width="9" style="1"/>
    <col min="12289" max="12289" width="6.875" style="1" customWidth="1"/>
    <col min="12290" max="12290" width="24.125" style="1" customWidth="1"/>
    <col min="12291" max="12291" width="53.25" style="1" bestFit="1" customWidth="1"/>
    <col min="12292" max="12292" width="7.75" style="1" customWidth="1"/>
    <col min="12293" max="12295" width="8.5" style="1" customWidth="1"/>
    <col min="12296" max="12544" width="9" style="1"/>
    <col min="12545" max="12545" width="6.875" style="1" customWidth="1"/>
    <col min="12546" max="12546" width="24.125" style="1" customWidth="1"/>
    <col min="12547" max="12547" width="53.25" style="1" bestFit="1" customWidth="1"/>
    <col min="12548" max="12548" width="7.75" style="1" customWidth="1"/>
    <col min="12549" max="12551" width="8.5" style="1" customWidth="1"/>
    <col min="12552" max="12800" width="9" style="1"/>
    <col min="12801" max="12801" width="6.875" style="1" customWidth="1"/>
    <col min="12802" max="12802" width="24.125" style="1" customWidth="1"/>
    <col min="12803" max="12803" width="53.25" style="1" bestFit="1" customWidth="1"/>
    <col min="12804" max="12804" width="7.75" style="1" customWidth="1"/>
    <col min="12805" max="12807" width="8.5" style="1" customWidth="1"/>
    <col min="12808" max="13056" width="9" style="1"/>
    <col min="13057" max="13057" width="6.875" style="1" customWidth="1"/>
    <col min="13058" max="13058" width="24.125" style="1" customWidth="1"/>
    <col min="13059" max="13059" width="53.25" style="1" bestFit="1" customWidth="1"/>
    <col min="13060" max="13060" width="7.75" style="1" customWidth="1"/>
    <col min="13061" max="13063" width="8.5" style="1" customWidth="1"/>
    <col min="13064" max="13312" width="9" style="1"/>
    <col min="13313" max="13313" width="6.875" style="1" customWidth="1"/>
    <col min="13314" max="13314" width="24.125" style="1" customWidth="1"/>
    <col min="13315" max="13315" width="53.25" style="1" bestFit="1" customWidth="1"/>
    <col min="13316" max="13316" width="7.75" style="1" customWidth="1"/>
    <col min="13317" max="13319" width="8.5" style="1" customWidth="1"/>
    <col min="13320" max="13568" width="9" style="1"/>
    <col min="13569" max="13569" width="6.875" style="1" customWidth="1"/>
    <col min="13570" max="13570" width="24.125" style="1" customWidth="1"/>
    <col min="13571" max="13571" width="53.25" style="1" bestFit="1" customWidth="1"/>
    <col min="13572" max="13572" width="7.75" style="1" customWidth="1"/>
    <col min="13573" max="13575" width="8.5" style="1" customWidth="1"/>
    <col min="13576" max="13824" width="9" style="1"/>
    <col min="13825" max="13825" width="6.875" style="1" customWidth="1"/>
    <col min="13826" max="13826" width="24.125" style="1" customWidth="1"/>
    <col min="13827" max="13827" width="53.25" style="1" bestFit="1" customWidth="1"/>
    <col min="13828" max="13828" width="7.75" style="1" customWidth="1"/>
    <col min="13829" max="13831" width="8.5" style="1" customWidth="1"/>
    <col min="13832" max="14080" width="9" style="1"/>
    <col min="14081" max="14081" width="6.875" style="1" customWidth="1"/>
    <col min="14082" max="14082" width="24.125" style="1" customWidth="1"/>
    <col min="14083" max="14083" width="53.25" style="1" bestFit="1" customWidth="1"/>
    <col min="14084" max="14084" width="7.75" style="1" customWidth="1"/>
    <col min="14085" max="14087" width="8.5" style="1" customWidth="1"/>
    <col min="14088" max="14336" width="9" style="1"/>
    <col min="14337" max="14337" width="6.875" style="1" customWidth="1"/>
    <col min="14338" max="14338" width="24.125" style="1" customWidth="1"/>
    <col min="14339" max="14339" width="53.25" style="1" bestFit="1" customWidth="1"/>
    <col min="14340" max="14340" width="7.75" style="1" customWidth="1"/>
    <col min="14341" max="14343" width="8.5" style="1" customWidth="1"/>
    <col min="14344" max="14592" width="9" style="1"/>
    <col min="14593" max="14593" width="6.875" style="1" customWidth="1"/>
    <col min="14594" max="14594" width="24.125" style="1" customWidth="1"/>
    <col min="14595" max="14595" width="53.25" style="1" bestFit="1" customWidth="1"/>
    <col min="14596" max="14596" width="7.75" style="1" customWidth="1"/>
    <col min="14597" max="14599" width="8.5" style="1" customWidth="1"/>
    <col min="14600" max="14848" width="9" style="1"/>
    <col min="14849" max="14849" width="6.875" style="1" customWidth="1"/>
    <col min="14850" max="14850" width="24.125" style="1" customWidth="1"/>
    <col min="14851" max="14851" width="53.25" style="1" bestFit="1" customWidth="1"/>
    <col min="14852" max="14852" width="7.75" style="1" customWidth="1"/>
    <col min="14853" max="14855" width="8.5" style="1" customWidth="1"/>
    <col min="14856" max="15104" width="9" style="1"/>
    <col min="15105" max="15105" width="6.875" style="1" customWidth="1"/>
    <col min="15106" max="15106" width="24.125" style="1" customWidth="1"/>
    <col min="15107" max="15107" width="53.25" style="1" bestFit="1" customWidth="1"/>
    <col min="15108" max="15108" width="7.75" style="1" customWidth="1"/>
    <col min="15109" max="15111" width="8.5" style="1" customWidth="1"/>
    <col min="15112" max="15360" width="9" style="1"/>
    <col min="15361" max="15361" width="6.875" style="1" customWidth="1"/>
    <col min="15362" max="15362" width="24.125" style="1" customWidth="1"/>
    <col min="15363" max="15363" width="53.25" style="1" bestFit="1" customWidth="1"/>
    <col min="15364" max="15364" width="7.75" style="1" customWidth="1"/>
    <col min="15365" max="15367" width="8.5" style="1" customWidth="1"/>
    <col min="15368" max="15616" width="9" style="1"/>
    <col min="15617" max="15617" width="6.875" style="1" customWidth="1"/>
    <col min="15618" max="15618" width="24.125" style="1" customWidth="1"/>
    <col min="15619" max="15619" width="53.25" style="1" bestFit="1" customWidth="1"/>
    <col min="15620" max="15620" width="7.75" style="1" customWidth="1"/>
    <col min="15621" max="15623" width="8.5" style="1" customWidth="1"/>
    <col min="15624" max="15872" width="9" style="1"/>
    <col min="15873" max="15873" width="6.875" style="1" customWidth="1"/>
    <col min="15874" max="15874" width="24.125" style="1" customWidth="1"/>
    <col min="15875" max="15875" width="53.25" style="1" bestFit="1" customWidth="1"/>
    <col min="15876" max="15876" width="7.75" style="1" customWidth="1"/>
    <col min="15877" max="15879" width="8.5" style="1" customWidth="1"/>
    <col min="15880" max="16128" width="9" style="1"/>
    <col min="16129" max="16129" width="6.875" style="1" customWidth="1"/>
    <col min="16130" max="16130" width="24.125" style="1" customWidth="1"/>
    <col min="16131" max="16131" width="53.25" style="1" bestFit="1" customWidth="1"/>
    <col min="16132" max="16132" width="7.75" style="1" customWidth="1"/>
    <col min="16133" max="16135" width="8.5" style="1" customWidth="1"/>
    <col min="16136" max="16384" width="9" style="1"/>
  </cols>
  <sheetData>
    <row r="1" spans="1:8" ht="16.5" customHeight="1" x14ac:dyDescent="0.15">
      <c r="A1" s="1" t="s">
        <v>0</v>
      </c>
      <c r="F1" s="126">
        <v>38784</v>
      </c>
      <c r="G1" s="126"/>
      <c r="H1" s="2"/>
    </row>
    <row r="2" spans="1:8" ht="16.5" customHeight="1" thickBot="1" x14ac:dyDescent="0.2">
      <c r="D2" s="3"/>
      <c r="E2" s="1" t="s">
        <v>1</v>
      </c>
      <c r="F2" s="127"/>
      <c r="G2" s="127"/>
    </row>
    <row r="3" spans="1:8" ht="16.5" customHeight="1" thickBot="1" x14ac:dyDescent="0.2">
      <c r="E3" s="4" t="s">
        <v>2</v>
      </c>
      <c r="F3" s="128" t="s">
        <v>3</v>
      </c>
      <c r="G3" s="129"/>
      <c r="H3" s="130"/>
    </row>
    <row r="4" spans="1:8" ht="16.5" customHeight="1" thickBot="1" x14ac:dyDescent="0.2">
      <c r="A4" s="5" t="s">
        <v>4</v>
      </c>
      <c r="B4" s="6" t="s">
        <v>5</v>
      </c>
      <c r="C4" s="6" t="s">
        <v>6</v>
      </c>
      <c r="D4" s="6" t="s">
        <v>7</v>
      </c>
      <c r="E4" s="7" t="s">
        <v>8</v>
      </c>
      <c r="F4" s="8" t="s">
        <v>9</v>
      </c>
      <c r="G4" s="8" t="s">
        <v>10</v>
      </c>
      <c r="H4" s="8" t="s">
        <v>11</v>
      </c>
    </row>
    <row r="5" spans="1:8" ht="16.5" customHeight="1" x14ac:dyDescent="0.15">
      <c r="A5" s="9" t="s">
        <v>12</v>
      </c>
      <c r="B5" s="10" t="s">
        <v>13</v>
      </c>
      <c r="C5" s="10"/>
      <c r="D5" s="11"/>
      <c r="E5" s="12">
        <v>0</v>
      </c>
      <c r="F5" s="12">
        <v>0</v>
      </c>
      <c r="G5" s="12">
        <v>0</v>
      </c>
      <c r="H5" s="12">
        <v>0</v>
      </c>
    </row>
    <row r="6" spans="1:8" ht="16.5" customHeight="1" x14ac:dyDescent="0.15">
      <c r="A6" s="13" t="s">
        <v>14</v>
      </c>
      <c r="B6" s="14" t="s">
        <v>15</v>
      </c>
      <c r="C6" s="14"/>
      <c r="D6" s="15" t="s">
        <v>16</v>
      </c>
      <c r="E6" s="16">
        <v>25</v>
      </c>
      <c r="F6" s="16">
        <v>25</v>
      </c>
      <c r="G6" s="16">
        <v>25</v>
      </c>
      <c r="H6" s="16">
        <v>25</v>
      </c>
    </row>
    <row r="7" spans="1:8" ht="16.5" customHeight="1" x14ac:dyDescent="0.15">
      <c r="A7" s="13" t="s">
        <v>17</v>
      </c>
      <c r="B7" s="14" t="s">
        <v>18</v>
      </c>
      <c r="C7" s="14"/>
      <c r="D7" s="15" t="s">
        <v>16</v>
      </c>
      <c r="E7" s="16">
        <v>27</v>
      </c>
      <c r="F7" s="16">
        <v>27</v>
      </c>
      <c r="G7" s="16">
        <v>27</v>
      </c>
      <c r="H7" s="16">
        <v>27</v>
      </c>
    </row>
    <row r="8" spans="1:8" ht="16.5" customHeight="1" x14ac:dyDescent="0.15">
      <c r="A8" s="13" t="s">
        <v>19</v>
      </c>
      <c r="B8" s="14" t="s">
        <v>20</v>
      </c>
      <c r="C8" s="14"/>
      <c r="D8" s="15" t="s">
        <v>21</v>
      </c>
      <c r="E8" s="17">
        <v>18</v>
      </c>
      <c r="F8" s="17">
        <v>18</v>
      </c>
      <c r="G8" s="17">
        <v>18</v>
      </c>
      <c r="H8" s="17">
        <v>18</v>
      </c>
    </row>
    <row r="9" spans="1:8" ht="16.5" customHeight="1" x14ac:dyDescent="0.15">
      <c r="A9" s="13"/>
      <c r="B9" s="14" t="s">
        <v>22</v>
      </c>
      <c r="C9" s="14"/>
      <c r="D9" s="15" t="s">
        <v>23</v>
      </c>
      <c r="E9" s="18">
        <v>2</v>
      </c>
      <c r="F9" s="18">
        <v>2</v>
      </c>
      <c r="G9" s="18">
        <v>2</v>
      </c>
      <c r="H9" s="18">
        <v>2</v>
      </c>
    </row>
    <row r="10" spans="1:8" ht="16.5" customHeight="1" x14ac:dyDescent="0.15">
      <c r="A10" s="13" t="s">
        <v>24</v>
      </c>
      <c r="B10" s="14" t="s">
        <v>25</v>
      </c>
      <c r="C10" s="14"/>
      <c r="D10" s="15" t="s">
        <v>16</v>
      </c>
      <c r="E10" s="19">
        <f>ATAN(1/E9)*180/PI()</f>
        <v>26.56505117707799</v>
      </c>
      <c r="F10" s="19">
        <f>ATAN(1/F9)*180/PI()</f>
        <v>26.56505117707799</v>
      </c>
      <c r="G10" s="19">
        <f>ATAN(1/G9)*180/PI()</f>
        <v>26.56505117707799</v>
      </c>
      <c r="H10" s="19">
        <f>ATAN(1/H9)*180/PI()</f>
        <v>26.56505117707799</v>
      </c>
    </row>
    <row r="11" spans="1:8" ht="16.5" customHeight="1" x14ac:dyDescent="0.15">
      <c r="A11" s="13"/>
      <c r="B11" s="14" t="s">
        <v>26</v>
      </c>
      <c r="C11" s="14"/>
      <c r="D11" s="15" t="s">
        <v>23</v>
      </c>
      <c r="E11" s="18">
        <v>1.3</v>
      </c>
      <c r="F11" s="18">
        <v>1.3</v>
      </c>
      <c r="G11" s="18">
        <v>1.3</v>
      </c>
      <c r="H11" s="18">
        <v>1.3</v>
      </c>
    </row>
    <row r="12" spans="1:8" ht="16.5" customHeight="1" x14ac:dyDescent="0.15">
      <c r="A12" s="13" t="s">
        <v>27</v>
      </c>
      <c r="B12" s="14" t="s">
        <v>28</v>
      </c>
      <c r="C12" s="14"/>
      <c r="D12" s="15" t="s">
        <v>16</v>
      </c>
      <c r="E12" s="19">
        <f>ATAN(1/E11)*180/PI()</f>
        <v>37.568592028827496</v>
      </c>
      <c r="F12" s="19">
        <f>ATAN(1/F11)*180/PI()</f>
        <v>37.568592028827496</v>
      </c>
      <c r="G12" s="19">
        <f>ATAN(1/G11)*180/PI()</f>
        <v>37.568592028827496</v>
      </c>
      <c r="H12" s="19">
        <f>ATAN(1/H11)*180/PI()</f>
        <v>37.568592028827496</v>
      </c>
    </row>
    <row r="13" spans="1:8" ht="16.5" customHeight="1" x14ac:dyDescent="0.15">
      <c r="A13" s="13"/>
      <c r="B13" s="14" t="s">
        <v>29</v>
      </c>
      <c r="C13" s="14"/>
      <c r="D13" s="15" t="s">
        <v>23</v>
      </c>
      <c r="E13" s="18">
        <v>0.5</v>
      </c>
      <c r="F13" s="18">
        <v>0.8</v>
      </c>
      <c r="G13" s="18">
        <v>0.9</v>
      </c>
      <c r="H13" s="18">
        <v>0.6</v>
      </c>
    </row>
    <row r="14" spans="1:8" ht="16.5" customHeight="1" x14ac:dyDescent="0.15">
      <c r="A14" s="13" t="s">
        <v>30</v>
      </c>
      <c r="B14" s="14" t="s">
        <v>31</v>
      </c>
      <c r="C14" s="14"/>
      <c r="D14" s="15" t="s">
        <v>16</v>
      </c>
      <c r="E14" s="19">
        <f>ATAN(1/E13)*180/PI()</f>
        <v>63.43494882292201</v>
      </c>
      <c r="F14" s="19">
        <f>ATAN(1/F13)*180/PI()</f>
        <v>51.340191745909912</v>
      </c>
      <c r="G14" s="19">
        <f>ATAN(1/G13)*180/PI()</f>
        <v>48.012787504183336</v>
      </c>
      <c r="H14" s="19">
        <f>ATAN(1/H13)*180/PI()</f>
        <v>59.036243467926482</v>
      </c>
    </row>
    <row r="15" spans="1:8" ht="16.5" customHeight="1" x14ac:dyDescent="0.15">
      <c r="A15" s="13" t="s">
        <v>32</v>
      </c>
      <c r="B15" s="14" t="s">
        <v>33</v>
      </c>
      <c r="C15" s="14"/>
      <c r="D15" s="15" t="s">
        <v>34</v>
      </c>
      <c r="E15" s="18">
        <v>1.5</v>
      </c>
      <c r="F15" s="18">
        <v>1.5</v>
      </c>
      <c r="G15" s="18">
        <v>1.5</v>
      </c>
      <c r="H15" s="18">
        <v>1.5</v>
      </c>
    </row>
    <row r="16" spans="1:8" ht="29.25" customHeight="1" x14ac:dyDescent="0.15">
      <c r="A16" s="13" t="s">
        <v>35</v>
      </c>
      <c r="B16" s="20" t="s">
        <v>36</v>
      </c>
      <c r="C16" s="14" t="s">
        <v>37</v>
      </c>
      <c r="D16" s="15" t="s">
        <v>34</v>
      </c>
      <c r="E16" s="19">
        <f>(E17+E18+E21)*TAN(E10*PI()/180)-E22</f>
        <v>1.1499999999999999</v>
      </c>
      <c r="F16" s="19">
        <f>(F17+F18+F21)*TAN(F10*PI()/180)-F22</f>
        <v>0.79999999999999982</v>
      </c>
      <c r="G16" s="19">
        <f>(G17+G18+G21)*TAN(G10*PI()/180)-G22</f>
        <v>0.79999999999999982</v>
      </c>
      <c r="H16" s="19">
        <f>(H17+H18+H21)*TAN(H10*PI()/180)-H22</f>
        <v>0.79999999999999982</v>
      </c>
    </row>
    <row r="17" spans="1:8" ht="16.5" customHeight="1" x14ac:dyDescent="0.15">
      <c r="A17" s="13" t="s">
        <v>38</v>
      </c>
      <c r="B17" s="21" t="s">
        <v>39</v>
      </c>
      <c r="C17" s="14" t="s">
        <v>40</v>
      </c>
      <c r="D17" s="15" t="s">
        <v>34</v>
      </c>
      <c r="E17" s="19">
        <f>E15/TAN(E10*PI()/180)</f>
        <v>3</v>
      </c>
      <c r="F17" s="19">
        <f>F15/TAN(F10*PI()/180)</f>
        <v>3</v>
      </c>
      <c r="G17" s="19">
        <f>G15/TAN(G10*PI()/180)</f>
        <v>3</v>
      </c>
      <c r="H17" s="19">
        <f>H15/TAN(H10*PI()/180)</f>
        <v>3</v>
      </c>
    </row>
    <row r="18" spans="1:8" ht="16.5" customHeight="1" x14ac:dyDescent="0.15">
      <c r="A18" s="13" t="s">
        <v>41</v>
      </c>
      <c r="B18" s="21" t="s">
        <v>39</v>
      </c>
      <c r="C18" s="14" t="s">
        <v>42</v>
      </c>
      <c r="D18" s="15" t="s">
        <v>34</v>
      </c>
      <c r="E18" s="19">
        <f>E22*(1/TAN(E12*PI()/180)-1/TAN(E14*PI()/180))</f>
        <v>0.79999999999999971</v>
      </c>
      <c r="F18" s="19">
        <f>F22*(1/TAN(F12*PI()/180)-1/TAN(F14*PI()/180))</f>
        <v>0.99999999999999956</v>
      </c>
      <c r="G18" s="19">
        <f>G22*(1/TAN(G12*PI()/180)-1/TAN(G14*PI()/180))</f>
        <v>0.79999999999999982</v>
      </c>
      <c r="H18" s="19">
        <f>H22*(1/TAN(H12*PI()/180)-1/TAN(H14*PI()/180))</f>
        <v>1.3999999999999997</v>
      </c>
    </row>
    <row r="19" spans="1:8" ht="16.5" customHeight="1" x14ac:dyDescent="0.15">
      <c r="A19" s="13" t="s">
        <v>43</v>
      </c>
      <c r="B19" s="21" t="s">
        <v>39</v>
      </c>
      <c r="C19" s="14" t="s">
        <v>44</v>
      </c>
      <c r="D19" s="15" t="s">
        <v>34</v>
      </c>
      <c r="E19" s="19">
        <f>(E17+E18)*TAN(E10*PI()/180)</f>
        <v>1.9</v>
      </c>
      <c r="F19" s="19">
        <f>(F17+F18)*TAN(F10*PI()/180)</f>
        <v>1.9999999999999998</v>
      </c>
      <c r="G19" s="19">
        <f>(G17+G18)*TAN(G10*PI()/180)</f>
        <v>1.9</v>
      </c>
      <c r="H19" s="19">
        <f>(H17+H18)*TAN(H10*PI()/180)</f>
        <v>2.1999999999999997</v>
      </c>
    </row>
    <row r="20" spans="1:8" ht="16.5" customHeight="1" x14ac:dyDescent="0.15">
      <c r="A20" s="13" t="s">
        <v>45</v>
      </c>
      <c r="B20" s="21" t="s">
        <v>39</v>
      </c>
      <c r="C20" s="14" t="s">
        <v>46</v>
      </c>
      <c r="D20" s="15" t="s">
        <v>34</v>
      </c>
      <c r="E20" s="19">
        <f>((E17+E18+E21)*TAN(E10*PI()/180)-E22)/(TAN(E14*PI()/180)-TAN(E10*PI()/180))</f>
        <v>0.76666666666666683</v>
      </c>
      <c r="F20" s="19">
        <f>((F17+F18+F21)*TAN(F10*PI()/180)-F22)/(TAN(F14*PI()/180)-TAN(F10*PI()/180))</f>
        <v>1.0666666666666664</v>
      </c>
      <c r="G20" s="19">
        <f>((G17+G18+G21)*TAN(G10*PI()/180)-G22)/(TAN(G14*PI()/180)-TAN(G10*PI()/180))</f>
        <v>1.3090909090909086</v>
      </c>
      <c r="H20" s="19">
        <f>((H17+H18+H21)*TAN(H10*PI()/180)-H22)/(TAN(H14*PI()/180)-TAN(H10*PI()/180))</f>
        <v>0.6857142857142855</v>
      </c>
    </row>
    <row r="21" spans="1:8" ht="16.5" customHeight="1" x14ac:dyDescent="0.15">
      <c r="A21" s="22" t="s">
        <v>47</v>
      </c>
      <c r="B21" s="23" t="s">
        <v>39</v>
      </c>
      <c r="C21" s="24" t="s">
        <v>48</v>
      </c>
      <c r="D21" s="25" t="s">
        <v>34</v>
      </c>
      <c r="E21" s="26">
        <f>E22/TAN(E14*PI()/180)</f>
        <v>0.50000000000000011</v>
      </c>
      <c r="F21" s="26">
        <f>F22/TAN(F14*PI()/180)</f>
        <v>1.6</v>
      </c>
      <c r="G21" s="26">
        <f>G22/TAN(G14*PI()/180)</f>
        <v>1.7999999999999998</v>
      </c>
      <c r="H21" s="26">
        <f>H22/TAN(H14*PI()/180)</f>
        <v>1.2</v>
      </c>
    </row>
    <row r="22" spans="1:8" ht="16.5" customHeight="1" x14ac:dyDescent="0.15">
      <c r="A22" s="22" t="s">
        <v>49</v>
      </c>
      <c r="B22" s="21" t="s">
        <v>50</v>
      </c>
      <c r="C22" s="24"/>
      <c r="D22" s="15" t="s">
        <v>34</v>
      </c>
      <c r="E22" s="27">
        <v>1</v>
      </c>
      <c r="F22" s="27">
        <v>2</v>
      </c>
      <c r="G22" s="27">
        <v>2</v>
      </c>
      <c r="H22" s="27">
        <v>2</v>
      </c>
    </row>
    <row r="23" spans="1:8" ht="16.5" customHeight="1" x14ac:dyDescent="0.15">
      <c r="A23" s="22" t="s">
        <v>51</v>
      </c>
      <c r="B23" s="21" t="s">
        <v>39</v>
      </c>
      <c r="C23" s="24" t="s">
        <v>52</v>
      </c>
      <c r="D23" s="15" t="s">
        <v>34</v>
      </c>
      <c r="E23" s="26">
        <f>E20*TAN(E12*PI()/180)</f>
        <v>0.58974358974358998</v>
      </c>
      <c r="F23" s="26">
        <f>F20*TAN(F12*PI()/180)</f>
        <v>0.82051282051282048</v>
      </c>
      <c r="G23" s="26">
        <f>G20*TAN(G12*PI()/180)</f>
        <v>1.0069930069930069</v>
      </c>
      <c r="H23" s="26">
        <f>H20*TAN(H12*PI()/180)</f>
        <v>0.52747252747252737</v>
      </c>
    </row>
    <row r="24" spans="1:8" ht="16.5" customHeight="1" thickBot="1" x14ac:dyDescent="0.2">
      <c r="A24" s="28" t="s">
        <v>53</v>
      </c>
      <c r="B24" s="23" t="s">
        <v>39</v>
      </c>
      <c r="C24" s="29" t="s">
        <v>54</v>
      </c>
      <c r="D24" s="25" t="s">
        <v>34</v>
      </c>
      <c r="E24" s="30">
        <f>E20*(TAN(E14*PI()/180)-TAN(E12*PI()/180))</f>
        <v>0.94358974358974335</v>
      </c>
      <c r="F24" s="30">
        <f>F20*(TAN(F14*PI()/180)-TAN(F12*PI()/180))</f>
        <v>0.51282051282051255</v>
      </c>
      <c r="G24" s="30">
        <f>G20*(TAN(G14*PI()/180)-TAN(G12*PI()/180))</f>
        <v>0.44755244755244727</v>
      </c>
      <c r="H24" s="30">
        <f>H20*(TAN(H14*PI()/180)-TAN(H12*PI()/180))</f>
        <v>0.61538461538461509</v>
      </c>
    </row>
    <row r="25" spans="1:8" ht="16.5" customHeight="1" x14ac:dyDescent="0.15">
      <c r="A25" s="9" t="s">
        <v>55</v>
      </c>
      <c r="B25" s="10" t="s">
        <v>56</v>
      </c>
      <c r="C25" s="10" t="s">
        <v>57</v>
      </c>
      <c r="D25" s="31" t="s">
        <v>58</v>
      </c>
      <c r="E25" s="32">
        <f>E17*E15*0.5*E8</f>
        <v>40.5</v>
      </c>
      <c r="F25" s="32">
        <f>F17*F15*0.5*F8</f>
        <v>40.5</v>
      </c>
      <c r="G25" s="32">
        <f>G17*G15*0.5*G8</f>
        <v>40.5</v>
      </c>
      <c r="H25" s="32">
        <f>H17*H15*0.5*H8</f>
        <v>40.5</v>
      </c>
    </row>
    <row r="26" spans="1:8" ht="16.5" customHeight="1" x14ac:dyDescent="0.15">
      <c r="A26" s="13" t="s">
        <v>59</v>
      </c>
      <c r="B26" s="14" t="s">
        <v>60</v>
      </c>
      <c r="C26" s="14" t="s">
        <v>61</v>
      </c>
      <c r="D26" s="15" t="s">
        <v>58</v>
      </c>
      <c r="E26" s="19">
        <f>E5+E25*TAN(E6*PI()/180)</f>
        <v>18.885460155277443</v>
      </c>
      <c r="F26" s="19">
        <f>F5+F25*TAN(F6*PI()/180)</f>
        <v>18.885460155277443</v>
      </c>
      <c r="G26" s="19">
        <f>G5+G25*TAN(G6*PI()/180)</f>
        <v>18.885460155277443</v>
      </c>
      <c r="H26" s="19">
        <f>H5+H25*TAN(H6*PI()/180)</f>
        <v>18.885460155277443</v>
      </c>
    </row>
    <row r="27" spans="1:8" ht="16.5" customHeight="1" x14ac:dyDescent="0.15">
      <c r="A27" s="13" t="s">
        <v>62</v>
      </c>
      <c r="B27" s="14" t="s">
        <v>63</v>
      </c>
      <c r="C27" s="14" t="s">
        <v>64</v>
      </c>
      <c r="D27" s="15" t="s">
        <v>58</v>
      </c>
      <c r="E27" s="19">
        <f>((E15+E19)*0.5*E18)*E8</f>
        <v>24.47999999999999</v>
      </c>
      <c r="F27" s="19">
        <f>((F15+F19)*0.5*F18)*F8</f>
        <v>31.499999999999986</v>
      </c>
      <c r="G27" s="19">
        <f>((G15+G19)*0.5*G18)*G8</f>
        <v>24.479999999999993</v>
      </c>
      <c r="H27" s="19">
        <f>((H15+H19)*0.5*H18)*H8</f>
        <v>46.61999999999999</v>
      </c>
    </row>
    <row r="28" spans="1:8" ht="16.5" customHeight="1" x14ac:dyDescent="0.15">
      <c r="A28" s="13" t="s">
        <v>65</v>
      </c>
      <c r="B28" s="14" t="s">
        <v>60</v>
      </c>
      <c r="C28" s="14" t="s">
        <v>66</v>
      </c>
      <c r="D28" s="15" t="s">
        <v>58</v>
      </c>
      <c r="E28" s="19">
        <f>E5+E27*TAN(E7*PI()/180)</f>
        <v>12.473183003623612</v>
      </c>
      <c r="F28" s="19">
        <f>F5+F27*TAN(F7*PI()/180)</f>
        <v>16.050051659074501</v>
      </c>
      <c r="G28" s="19">
        <f>G5+G27*TAN(G7*PI()/180)</f>
        <v>12.473183003623614</v>
      </c>
      <c r="H28" s="19">
        <f>H5+H27*TAN(H7*PI()/180)</f>
        <v>23.754076455430265</v>
      </c>
    </row>
    <row r="29" spans="1:8" ht="16.5" customHeight="1" thickBot="1" x14ac:dyDescent="0.2">
      <c r="A29" s="28" t="s">
        <v>67</v>
      </c>
      <c r="B29" s="29" t="s">
        <v>68</v>
      </c>
      <c r="C29" s="29" t="s">
        <v>69</v>
      </c>
      <c r="D29" s="33" t="s">
        <v>58</v>
      </c>
      <c r="E29" s="30">
        <f>(E26+E28)/COS(((E10+E12)/2)*PI()/180)</f>
        <v>37.004427212920653</v>
      </c>
      <c r="F29" s="30">
        <f>(F26+F28)/COS(((F10+F12)/2)*PI()/180)</f>
        <v>41.225272328575471</v>
      </c>
      <c r="G29" s="30">
        <f>(G26+G28)/COS(((G10+G12)/2)*PI()/180)</f>
        <v>37.00442721292066</v>
      </c>
      <c r="H29" s="30">
        <f>(H26+H28)/COS(((H10+H12)/2)*PI()/180)</f>
        <v>50.316323346908923</v>
      </c>
    </row>
    <row r="30" spans="1:8" ht="16.5" customHeight="1" x14ac:dyDescent="0.15">
      <c r="A30" s="9" t="s">
        <v>70</v>
      </c>
      <c r="B30" s="10" t="s">
        <v>71</v>
      </c>
      <c r="C30" s="10" t="s">
        <v>72</v>
      </c>
      <c r="D30" s="31" t="s">
        <v>58</v>
      </c>
      <c r="E30" s="12">
        <f>(E19+E16)*0.5*E21*E8</f>
        <v>13.725000000000003</v>
      </c>
      <c r="F30" s="12">
        <f>(F19+F16)*0.5*F21*F8</f>
        <v>40.319999999999993</v>
      </c>
      <c r="G30" s="12">
        <f>(G19+G16)*0.5*G21*G8</f>
        <v>43.739999999999995</v>
      </c>
      <c r="H30" s="12">
        <f>(H19+H16)*0.5*H21*H8</f>
        <v>32.399999999999991</v>
      </c>
    </row>
    <row r="31" spans="1:8" ht="16.5" customHeight="1" x14ac:dyDescent="0.15">
      <c r="A31" s="13" t="s">
        <v>73</v>
      </c>
      <c r="B31" s="14" t="s">
        <v>74</v>
      </c>
      <c r="C31" s="14" t="s">
        <v>75</v>
      </c>
      <c r="D31" s="15" t="s">
        <v>58</v>
      </c>
      <c r="E31" s="19">
        <f>E5+E30*COS(E14*PI()/180)*TAN(E7*PI()/180)</f>
        <v>3.1274705709664392</v>
      </c>
      <c r="F31" s="19">
        <f>F5+F30*COS(F14*PI()/180)*TAN(F7*PI()/180)</f>
        <v>12.833776364053138</v>
      </c>
      <c r="G31" s="19">
        <f>G5+G30*COS(G14*PI()/180)*TAN(G7*PI()/180)</f>
        <v>14.908978260887617</v>
      </c>
      <c r="H31" s="19">
        <f>H5+H30*COS(H14*PI()/180)*TAN(H7*PI()/180)</f>
        <v>8.4936172659288296</v>
      </c>
    </row>
    <row r="32" spans="1:8" ht="16.5" customHeight="1" x14ac:dyDescent="0.15">
      <c r="A32" s="13" t="s">
        <v>76</v>
      </c>
      <c r="B32" s="14" t="s">
        <v>77</v>
      </c>
      <c r="C32" s="14" t="s">
        <v>78</v>
      </c>
      <c r="D32" s="15" t="s">
        <v>58</v>
      </c>
      <c r="E32" s="19">
        <f>E16*E20*0.5*E8</f>
        <v>7.9350000000000014</v>
      </c>
      <c r="F32" s="19">
        <f>F16*F20*0.5*F8</f>
        <v>7.6799999999999962</v>
      </c>
      <c r="G32" s="19">
        <f>G16*G20*0.5*G8</f>
        <v>9.4254545454545404</v>
      </c>
      <c r="H32" s="19">
        <f>H16*H20*0.5*H8</f>
        <v>4.9371428571428542</v>
      </c>
    </row>
    <row r="33" spans="1:8" ht="16.5" customHeight="1" x14ac:dyDescent="0.15">
      <c r="A33" s="13" t="s">
        <v>79</v>
      </c>
      <c r="B33" s="14" t="s">
        <v>74</v>
      </c>
      <c r="C33" s="14" t="s">
        <v>80</v>
      </c>
      <c r="D33" s="15" t="s">
        <v>58</v>
      </c>
      <c r="E33" s="19">
        <f>E5+E32*COS(E14*PI()/180)*TAN(E6*PI()/180)</f>
        <v>1.6547579522144753</v>
      </c>
      <c r="F33" s="19">
        <f>F5+F32*COS(F14*PI()/180)*TAN(F6*PI()/180)</f>
        <v>2.2371846503894699</v>
      </c>
      <c r="G33" s="19">
        <f>G5+G32*COS(G14*PI()/180)*TAN(G6*PI()/180)</f>
        <v>2.9402081243558715</v>
      </c>
      <c r="H33" s="19">
        <f>H5+H32*COS(H14*PI()/180)*TAN(H6*PI()/180)</f>
        <v>1.1844862889674255</v>
      </c>
    </row>
    <row r="34" spans="1:8" ht="16.5" customHeight="1" thickBot="1" x14ac:dyDescent="0.2">
      <c r="A34" s="28" t="s">
        <v>81</v>
      </c>
      <c r="B34" s="29" t="s">
        <v>82</v>
      </c>
      <c r="C34" s="29" t="s">
        <v>83</v>
      </c>
      <c r="D34" s="33" t="s">
        <v>58</v>
      </c>
      <c r="E34" s="30">
        <f>((E30+E32)*SIN(E14*PI()/180)-(E31+E33))*COS(((E10+E12)/2-E14)*PI()/180)</f>
        <v>12.458441678976586</v>
      </c>
      <c r="F34" s="30">
        <f>((F30+F32)*SIN(F14*PI()/180)-(F31+F33))*COS(((F10+F12)/2-F14)*PI()/180)</f>
        <v>21.154719838022423</v>
      </c>
      <c r="G34" s="30">
        <f>((G30+G32)*SIN(G14*PI()/180)-(G31+G33))*COS(((G10+G12)/2-G14)*PI()/180)</f>
        <v>20.834611632968148</v>
      </c>
      <c r="H34" s="30">
        <f>((H30+H32)*SIN(H14*PI()/180)-(H31+H33))*COS(((H10+H12)/2-H14)*PI()/180)</f>
        <v>19.908920219333922</v>
      </c>
    </row>
    <row r="35" spans="1:8" ht="16.5" customHeight="1" thickBot="1" x14ac:dyDescent="0.2">
      <c r="A35" s="5" t="s">
        <v>84</v>
      </c>
      <c r="B35" s="34"/>
      <c r="C35" s="34" t="s">
        <v>85</v>
      </c>
      <c r="D35" s="35"/>
      <c r="E35" s="36">
        <f>E29/E34</f>
        <v>2.9702291961092544</v>
      </c>
      <c r="F35" s="36">
        <f>F29/F34</f>
        <v>1.9487505693400511</v>
      </c>
      <c r="G35" s="36">
        <f>G29/G34</f>
        <v>1.7761035273806505</v>
      </c>
      <c r="H35" s="36">
        <f>H29/H34</f>
        <v>2.5273255803218202</v>
      </c>
    </row>
    <row r="36" spans="1:8" ht="16.5" customHeight="1" x14ac:dyDescent="0.15"/>
    <row r="37" spans="1:8" ht="16.5" customHeight="1" x14ac:dyDescent="0.15"/>
    <row r="38" spans="1:8" ht="16.5" customHeight="1" x14ac:dyDescent="0.15"/>
    <row r="39" spans="1:8" ht="16.5" customHeight="1" x14ac:dyDescent="0.15"/>
    <row r="40" spans="1:8" ht="16.5" customHeight="1" x14ac:dyDescent="0.15"/>
    <row r="41" spans="1:8" ht="16.5" customHeight="1" x14ac:dyDescent="0.15"/>
    <row r="42" spans="1:8" ht="16.5" customHeight="1" x14ac:dyDescent="0.15"/>
    <row r="43" spans="1:8" ht="16.5" customHeight="1" x14ac:dyDescent="0.15"/>
    <row r="44" spans="1:8" ht="16.5" customHeight="1" x14ac:dyDescent="0.15"/>
  </sheetData>
  <mergeCells count="3">
    <mergeCell ref="F1:G1"/>
    <mergeCell ref="F2:G2"/>
    <mergeCell ref="F3:H3"/>
  </mergeCells>
  <phoneticPr fontId="2"/>
  <pageMargins left="0.78740157480314965" right="0.59055118110236227" top="0.39370078740157483" bottom="0.19685039370078741" header="0.51181102362204722" footer="0.51181102362204722"/>
  <pageSetup paperSize="9"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89E12-3F8E-4F33-8720-74B6A5B0331F}">
  <dimension ref="A1"/>
  <sheetViews>
    <sheetView tabSelected="1" topLeftCell="A10" workbookViewId="0">
      <selection activeCell="N23" sqref="N23"/>
    </sheetView>
  </sheetViews>
  <sheetFormatPr defaultRowHeight="18.75" x14ac:dyDescent="0.4"/>
  <sheetData/>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E9254-5187-4041-B760-9D9DFEAFEBAE}">
  <dimension ref="A1:F37"/>
  <sheetViews>
    <sheetView topLeftCell="A25" zoomScaleNormal="100" zoomScaleSheetLayoutView="100" workbookViewId="0">
      <selection activeCell="E42" sqref="E42"/>
    </sheetView>
  </sheetViews>
  <sheetFormatPr defaultRowHeight="13.5" x14ac:dyDescent="0.15"/>
  <cols>
    <col min="1" max="1" width="9" style="1"/>
    <col min="2" max="2" width="14.875" style="1" customWidth="1"/>
    <col min="3" max="4" width="9" style="1"/>
    <col min="5" max="5" width="33.875" style="1" customWidth="1"/>
    <col min="6" max="6" width="47.5" style="1" customWidth="1"/>
    <col min="7" max="257" width="9" style="1"/>
    <col min="258" max="258" width="14.875" style="1" customWidth="1"/>
    <col min="259" max="260" width="9" style="1"/>
    <col min="261" max="261" width="33.875" style="1" customWidth="1"/>
    <col min="262" max="262" width="47.5" style="1" customWidth="1"/>
    <col min="263" max="513" width="9" style="1"/>
    <col min="514" max="514" width="14.875" style="1" customWidth="1"/>
    <col min="515" max="516" width="9" style="1"/>
    <col min="517" max="517" width="33.875" style="1" customWidth="1"/>
    <col min="518" max="518" width="47.5" style="1" customWidth="1"/>
    <col min="519" max="769" width="9" style="1"/>
    <col min="770" max="770" width="14.875" style="1" customWidth="1"/>
    <col min="771" max="772" width="9" style="1"/>
    <col min="773" max="773" width="33.875" style="1" customWidth="1"/>
    <col min="774" max="774" width="47.5" style="1" customWidth="1"/>
    <col min="775" max="1025" width="9" style="1"/>
    <col min="1026" max="1026" width="14.875" style="1" customWidth="1"/>
    <col min="1027" max="1028" width="9" style="1"/>
    <col min="1029" max="1029" width="33.875" style="1" customWidth="1"/>
    <col min="1030" max="1030" width="47.5" style="1" customWidth="1"/>
    <col min="1031" max="1281" width="9" style="1"/>
    <col min="1282" max="1282" width="14.875" style="1" customWidth="1"/>
    <col min="1283" max="1284" width="9" style="1"/>
    <col min="1285" max="1285" width="33.875" style="1" customWidth="1"/>
    <col min="1286" max="1286" width="47.5" style="1" customWidth="1"/>
    <col min="1287" max="1537" width="9" style="1"/>
    <col min="1538" max="1538" width="14.875" style="1" customWidth="1"/>
    <col min="1539" max="1540" width="9" style="1"/>
    <col min="1541" max="1541" width="33.875" style="1" customWidth="1"/>
    <col min="1542" max="1542" width="47.5" style="1" customWidth="1"/>
    <col min="1543" max="1793" width="9" style="1"/>
    <col min="1794" max="1794" width="14.875" style="1" customWidth="1"/>
    <col min="1795" max="1796" width="9" style="1"/>
    <col min="1797" max="1797" width="33.875" style="1" customWidth="1"/>
    <col min="1798" max="1798" width="47.5" style="1" customWidth="1"/>
    <col min="1799" max="2049" width="9" style="1"/>
    <col min="2050" max="2050" width="14.875" style="1" customWidth="1"/>
    <col min="2051" max="2052" width="9" style="1"/>
    <col min="2053" max="2053" width="33.875" style="1" customWidth="1"/>
    <col min="2054" max="2054" width="47.5" style="1" customWidth="1"/>
    <col min="2055" max="2305" width="9" style="1"/>
    <col min="2306" max="2306" width="14.875" style="1" customWidth="1"/>
    <col min="2307" max="2308" width="9" style="1"/>
    <col min="2309" max="2309" width="33.875" style="1" customWidth="1"/>
    <col min="2310" max="2310" width="47.5" style="1" customWidth="1"/>
    <col min="2311" max="2561" width="9" style="1"/>
    <col min="2562" max="2562" width="14.875" style="1" customWidth="1"/>
    <col min="2563" max="2564" width="9" style="1"/>
    <col min="2565" max="2565" width="33.875" style="1" customWidth="1"/>
    <col min="2566" max="2566" width="47.5" style="1" customWidth="1"/>
    <col min="2567" max="2817" width="9" style="1"/>
    <col min="2818" max="2818" width="14.875" style="1" customWidth="1"/>
    <col min="2819" max="2820" width="9" style="1"/>
    <col min="2821" max="2821" width="33.875" style="1" customWidth="1"/>
    <col min="2822" max="2822" width="47.5" style="1" customWidth="1"/>
    <col min="2823" max="3073" width="9" style="1"/>
    <col min="3074" max="3074" width="14.875" style="1" customWidth="1"/>
    <col min="3075" max="3076" width="9" style="1"/>
    <col min="3077" max="3077" width="33.875" style="1" customWidth="1"/>
    <col min="3078" max="3078" width="47.5" style="1" customWidth="1"/>
    <col min="3079" max="3329" width="9" style="1"/>
    <col min="3330" max="3330" width="14.875" style="1" customWidth="1"/>
    <col min="3331" max="3332" width="9" style="1"/>
    <col min="3333" max="3333" width="33.875" style="1" customWidth="1"/>
    <col min="3334" max="3334" width="47.5" style="1" customWidth="1"/>
    <col min="3335" max="3585" width="9" style="1"/>
    <col min="3586" max="3586" width="14.875" style="1" customWidth="1"/>
    <col min="3587" max="3588" width="9" style="1"/>
    <col min="3589" max="3589" width="33.875" style="1" customWidth="1"/>
    <col min="3590" max="3590" width="47.5" style="1" customWidth="1"/>
    <col min="3591" max="3841" width="9" style="1"/>
    <col min="3842" max="3842" width="14.875" style="1" customWidth="1"/>
    <col min="3843" max="3844" width="9" style="1"/>
    <col min="3845" max="3845" width="33.875" style="1" customWidth="1"/>
    <col min="3846" max="3846" width="47.5" style="1" customWidth="1"/>
    <col min="3847" max="4097" width="9" style="1"/>
    <col min="4098" max="4098" width="14.875" style="1" customWidth="1"/>
    <col min="4099" max="4100" width="9" style="1"/>
    <col min="4101" max="4101" width="33.875" style="1" customWidth="1"/>
    <col min="4102" max="4102" width="47.5" style="1" customWidth="1"/>
    <col min="4103" max="4353" width="9" style="1"/>
    <col min="4354" max="4354" width="14.875" style="1" customWidth="1"/>
    <col min="4355" max="4356" width="9" style="1"/>
    <col min="4357" max="4357" width="33.875" style="1" customWidth="1"/>
    <col min="4358" max="4358" width="47.5" style="1" customWidth="1"/>
    <col min="4359" max="4609" width="9" style="1"/>
    <col min="4610" max="4610" width="14.875" style="1" customWidth="1"/>
    <col min="4611" max="4612" width="9" style="1"/>
    <col min="4613" max="4613" width="33.875" style="1" customWidth="1"/>
    <col min="4614" max="4614" width="47.5" style="1" customWidth="1"/>
    <col min="4615" max="4865" width="9" style="1"/>
    <col min="4866" max="4866" width="14.875" style="1" customWidth="1"/>
    <col min="4867" max="4868" width="9" style="1"/>
    <col min="4869" max="4869" width="33.875" style="1" customWidth="1"/>
    <col min="4870" max="4870" width="47.5" style="1" customWidth="1"/>
    <col min="4871" max="5121" width="9" style="1"/>
    <col min="5122" max="5122" width="14.875" style="1" customWidth="1"/>
    <col min="5123" max="5124" width="9" style="1"/>
    <col min="5125" max="5125" width="33.875" style="1" customWidth="1"/>
    <col min="5126" max="5126" width="47.5" style="1" customWidth="1"/>
    <col min="5127" max="5377" width="9" style="1"/>
    <col min="5378" max="5378" width="14.875" style="1" customWidth="1"/>
    <col min="5379" max="5380" width="9" style="1"/>
    <col min="5381" max="5381" width="33.875" style="1" customWidth="1"/>
    <col min="5382" max="5382" width="47.5" style="1" customWidth="1"/>
    <col min="5383" max="5633" width="9" style="1"/>
    <col min="5634" max="5634" width="14.875" style="1" customWidth="1"/>
    <col min="5635" max="5636" width="9" style="1"/>
    <col min="5637" max="5637" width="33.875" style="1" customWidth="1"/>
    <col min="5638" max="5638" width="47.5" style="1" customWidth="1"/>
    <col min="5639" max="5889" width="9" style="1"/>
    <col min="5890" max="5890" width="14.875" style="1" customWidth="1"/>
    <col min="5891" max="5892" width="9" style="1"/>
    <col min="5893" max="5893" width="33.875" style="1" customWidth="1"/>
    <col min="5894" max="5894" width="47.5" style="1" customWidth="1"/>
    <col min="5895" max="6145" width="9" style="1"/>
    <col min="6146" max="6146" width="14.875" style="1" customWidth="1"/>
    <col min="6147" max="6148" width="9" style="1"/>
    <col min="6149" max="6149" width="33.875" style="1" customWidth="1"/>
    <col min="6150" max="6150" width="47.5" style="1" customWidth="1"/>
    <col min="6151" max="6401" width="9" style="1"/>
    <col min="6402" max="6402" width="14.875" style="1" customWidth="1"/>
    <col min="6403" max="6404" width="9" style="1"/>
    <col min="6405" max="6405" width="33.875" style="1" customWidth="1"/>
    <col min="6406" max="6406" width="47.5" style="1" customWidth="1"/>
    <col min="6407" max="6657" width="9" style="1"/>
    <col min="6658" max="6658" width="14.875" style="1" customWidth="1"/>
    <col min="6659" max="6660" width="9" style="1"/>
    <col min="6661" max="6661" width="33.875" style="1" customWidth="1"/>
    <col min="6662" max="6662" width="47.5" style="1" customWidth="1"/>
    <col min="6663" max="6913" width="9" style="1"/>
    <col min="6914" max="6914" width="14.875" style="1" customWidth="1"/>
    <col min="6915" max="6916" width="9" style="1"/>
    <col min="6917" max="6917" width="33.875" style="1" customWidth="1"/>
    <col min="6918" max="6918" width="47.5" style="1" customWidth="1"/>
    <col min="6919" max="7169" width="9" style="1"/>
    <col min="7170" max="7170" width="14.875" style="1" customWidth="1"/>
    <col min="7171" max="7172" width="9" style="1"/>
    <col min="7173" max="7173" width="33.875" style="1" customWidth="1"/>
    <col min="7174" max="7174" width="47.5" style="1" customWidth="1"/>
    <col min="7175" max="7425" width="9" style="1"/>
    <col min="7426" max="7426" width="14.875" style="1" customWidth="1"/>
    <col min="7427" max="7428" width="9" style="1"/>
    <col min="7429" max="7429" width="33.875" style="1" customWidth="1"/>
    <col min="7430" max="7430" width="47.5" style="1" customWidth="1"/>
    <col min="7431" max="7681" width="9" style="1"/>
    <col min="7682" max="7682" width="14.875" style="1" customWidth="1"/>
    <col min="7683" max="7684" width="9" style="1"/>
    <col min="7685" max="7685" width="33.875" style="1" customWidth="1"/>
    <col min="7686" max="7686" width="47.5" style="1" customWidth="1"/>
    <col min="7687" max="7937" width="9" style="1"/>
    <col min="7938" max="7938" width="14.875" style="1" customWidth="1"/>
    <col min="7939" max="7940" width="9" style="1"/>
    <col min="7941" max="7941" width="33.875" style="1" customWidth="1"/>
    <col min="7942" max="7942" width="47.5" style="1" customWidth="1"/>
    <col min="7943" max="8193" width="9" style="1"/>
    <col min="8194" max="8194" width="14.875" style="1" customWidth="1"/>
    <col min="8195" max="8196" width="9" style="1"/>
    <col min="8197" max="8197" width="33.875" style="1" customWidth="1"/>
    <col min="8198" max="8198" width="47.5" style="1" customWidth="1"/>
    <col min="8199" max="8449" width="9" style="1"/>
    <col min="8450" max="8450" width="14.875" style="1" customWidth="1"/>
    <col min="8451" max="8452" width="9" style="1"/>
    <col min="8453" max="8453" width="33.875" style="1" customWidth="1"/>
    <col min="8454" max="8454" width="47.5" style="1" customWidth="1"/>
    <col min="8455" max="8705" width="9" style="1"/>
    <col min="8706" max="8706" width="14.875" style="1" customWidth="1"/>
    <col min="8707" max="8708" width="9" style="1"/>
    <col min="8709" max="8709" width="33.875" style="1" customWidth="1"/>
    <col min="8710" max="8710" width="47.5" style="1" customWidth="1"/>
    <col min="8711" max="8961" width="9" style="1"/>
    <col min="8962" max="8962" width="14.875" style="1" customWidth="1"/>
    <col min="8963" max="8964" width="9" style="1"/>
    <col min="8965" max="8965" width="33.875" style="1" customWidth="1"/>
    <col min="8966" max="8966" width="47.5" style="1" customWidth="1"/>
    <col min="8967" max="9217" width="9" style="1"/>
    <col min="9218" max="9218" width="14.875" style="1" customWidth="1"/>
    <col min="9219" max="9220" width="9" style="1"/>
    <col min="9221" max="9221" width="33.875" style="1" customWidth="1"/>
    <col min="9222" max="9222" width="47.5" style="1" customWidth="1"/>
    <col min="9223" max="9473" width="9" style="1"/>
    <col min="9474" max="9474" width="14.875" style="1" customWidth="1"/>
    <col min="9475" max="9476" width="9" style="1"/>
    <col min="9477" max="9477" width="33.875" style="1" customWidth="1"/>
    <col min="9478" max="9478" width="47.5" style="1" customWidth="1"/>
    <col min="9479" max="9729" width="9" style="1"/>
    <col min="9730" max="9730" width="14.875" style="1" customWidth="1"/>
    <col min="9731" max="9732" width="9" style="1"/>
    <col min="9733" max="9733" width="33.875" style="1" customWidth="1"/>
    <col min="9734" max="9734" width="47.5" style="1" customWidth="1"/>
    <col min="9735" max="9985" width="9" style="1"/>
    <col min="9986" max="9986" width="14.875" style="1" customWidth="1"/>
    <col min="9987" max="9988" width="9" style="1"/>
    <col min="9989" max="9989" width="33.875" style="1" customWidth="1"/>
    <col min="9990" max="9990" width="47.5" style="1" customWidth="1"/>
    <col min="9991" max="10241" width="9" style="1"/>
    <col min="10242" max="10242" width="14.875" style="1" customWidth="1"/>
    <col min="10243" max="10244" width="9" style="1"/>
    <col min="10245" max="10245" width="33.875" style="1" customWidth="1"/>
    <col min="10246" max="10246" width="47.5" style="1" customWidth="1"/>
    <col min="10247" max="10497" width="9" style="1"/>
    <col min="10498" max="10498" width="14.875" style="1" customWidth="1"/>
    <col min="10499" max="10500" width="9" style="1"/>
    <col min="10501" max="10501" width="33.875" style="1" customWidth="1"/>
    <col min="10502" max="10502" width="47.5" style="1" customWidth="1"/>
    <col min="10503" max="10753" width="9" style="1"/>
    <col min="10754" max="10754" width="14.875" style="1" customWidth="1"/>
    <col min="10755" max="10756" width="9" style="1"/>
    <col min="10757" max="10757" width="33.875" style="1" customWidth="1"/>
    <col min="10758" max="10758" width="47.5" style="1" customWidth="1"/>
    <col min="10759" max="11009" width="9" style="1"/>
    <col min="11010" max="11010" width="14.875" style="1" customWidth="1"/>
    <col min="11011" max="11012" width="9" style="1"/>
    <col min="11013" max="11013" width="33.875" style="1" customWidth="1"/>
    <col min="11014" max="11014" width="47.5" style="1" customWidth="1"/>
    <col min="11015" max="11265" width="9" style="1"/>
    <col min="11266" max="11266" width="14.875" style="1" customWidth="1"/>
    <col min="11267" max="11268" width="9" style="1"/>
    <col min="11269" max="11269" width="33.875" style="1" customWidth="1"/>
    <col min="11270" max="11270" width="47.5" style="1" customWidth="1"/>
    <col min="11271" max="11521" width="9" style="1"/>
    <col min="11522" max="11522" width="14.875" style="1" customWidth="1"/>
    <col min="11523" max="11524" width="9" style="1"/>
    <col min="11525" max="11525" width="33.875" style="1" customWidth="1"/>
    <col min="11526" max="11526" width="47.5" style="1" customWidth="1"/>
    <col min="11527" max="11777" width="9" style="1"/>
    <col min="11778" max="11778" width="14.875" style="1" customWidth="1"/>
    <col min="11779" max="11780" width="9" style="1"/>
    <col min="11781" max="11781" width="33.875" style="1" customWidth="1"/>
    <col min="11782" max="11782" width="47.5" style="1" customWidth="1"/>
    <col min="11783" max="12033" width="9" style="1"/>
    <col min="12034" max="12034" width="14.875" style="1" customWidth="1"/>
    <col min="12035" max="12036" width="9" style="1"/>
    <col min="12037" max="12037" width="33.875" style="1" customWidth="1"/>
    <col min="12038" max="12038" width="47.5" style="1" customWidth="1"/>
    <col min="12039" max="12289" width="9" style="1"/>
    <col min="12290" max="12290" width="14.875" style="1" customWidth="1"/>
    <col min="12291" max="12292" width="9" style="1"/>
    <col min="12293" max="12293" width="33.875" style="1" customWidth="1"/>
    <col min="12294" max="12294" width="47.5" style="1" customWidth="1"/>
    <col min="12295" max="12545" width="9" style="1"/>
    <col min="12546" max="12546" width="14.875" style="1" customWidth="1"/>
    <col min="12547" max="12548" width="9" style="1"/>
    <col min="12549" max="12549" width="33.875" style="1" customWidth="1"/>
    <col min="12550" max="12550" width="47.5" style="1" customWidth="1"/>
    <col min="12551" max="12801" width="9" style="1"/>
    <col min="12802" max="12802" width="14.875" style="1" customWidth="1"/>
    <col min="12803" max="12804" width="9" style="1"/>
    <col min="12805" max="12805" width="33.875" style="1" customWidth="1"/>
    <col min="12806" max="12806" width="47.5" style="1" customWidth="1"/>
    <col min="12807" max="13057" width="9" style="1"/>
    <col min="13058" max="13058" width="14.875" style="1" customWidth="1"/>
    <col min="13059" max="13060" width="9" style="1"/>
    <col min="13061" max="13061" width="33.875" style="1" customWidth="1"/>
    <col min="13062" max="13062" width="47.5" style="1" customWidth="1"/>
    <col min="13063" max="13313" width="9" style="1"/>
    <col min="13314" max="13314" width="14.875" style="1" customWidth="1"/>
    <col min="13315" max="13316" width="9" style="1"/>
    <col min="13317" max="13317" width="33.875" style="1" customWidth="1"/>
    <col min="13318" max="13318" width="47.5" style="1" customWidth="1"/>
    <col min="13319" max="13569" width="9" style="1"/>
    <col min="13570" max="13570" width="14.875" style="1" customWidth="1"/>
    <col min="13571" max="13572" width="9" style="1"/>
    <col min="13573" max="13573" width="33.875" style="1" customWidth="1"/>
    <col min="13574" max="13574" width="47.5" style="1" customWidth="1"/>
    <col min="13575" max="13825" width="9" style="1"/>
    <col min="13826" max="13826" width="14.875" style="1" customWidth="1"/>
    <col min="13827" max="13828" width="9" style="1"/>
    <col min="13829" max="13829" width="33.875" style="1" customWidth="1"/>
    <col min="13830" max="13830" width="47.5" style="1" customWidth="1"/>
    <col min="13831" max="14081" width="9" style="1"/>
    <col min="14082" max="14082" width="14.875" style="1" customWidth="1"/>
    <col min="14083" max="14084" width="9" style="1"/>
    <col min="14085" max="14085" width="33.875" style="1" customWidth="1"/>
    <col min="14086" max="14086" width="47.5" style="1" customWidth="1"/>
    <col min="14087" max="14337" width="9" style="1"/>
    <col min="14338" max="14338" width="14.875" style="1" customWidth="1"/>
    <col min="14339" max="14340" width="9" style="1"/>
    <col min="14341" max="14341" width="33.875" style="1" customWidth="1"/>
    <col min="14342" max="14342" width="47.5" style="1" customWidth="1"/>
    <col min="14343" max="14593" width="9" style="1"/>
    <col min="14594" max="14594" width="14.875" style="1" customWidth="1"/>
    <col min="14595" max="14596" width="9" style="1"/>
    <col min="14597" max="14597" width="33.875" style="1" customWidth="1"/>
    <col min="14598" max="14598" width="47.5" style="1" customWidth="1"/>
    <col min="14599" max="14849" width="9" style="1"/>
    <col min="14850" max="14850" width="14.875" style="1" customWidth="1"/>
    <col min="14851" max="14852" width="9" style="1"/>
    <col min="14853" max="14853" width="33.875" style="1" customWidth="1"/>
    <col min="14854" max="14854" width="47.5" style="1" customWidth="1"/>
    <col min="14855" max="15105" width="9" style="1"/>
    <col min="15106" max="15106" width="14.875" style="1" customWidth="1"/>
    <col min="15107" max="15108" width="9" style="1"/>
    <col min="15109" max="15109" width="33.875" style="1" customWidth="1"/>
    <col min="15110" max="15110" width="47.5" style="1" customWidth="1"/>
    <col min="15111" max="15361" width="9" style="1"/>
    <col min="15362" max="15362" width="14.875" style="1" customWidth="1"/>
    <col min="15363" max="15364" width="9" style="1"/>
    <col min="15365" max="15365" width="33.875" style="1" customWidth="1"/>
    <col min="15366" max="15366" width="47.5" style="1" customWidth="1"/>
    <col min="15367" max="15617" width="9" style="1"/>
    <col min="15618" max="15618" width="14.875" style="1" customWidth="1"/>
    <col min="15619" max="15620" width="9" style="1"/>
    <col min="15621" max="15621" width="33.875" style="1" customWidth="1"/>
    <col min="15622" max="15622" width="47.5" style="1" customWidth="1"/>
    <col min="15623" max="15873" width="9" style="1"/>
    <col min="15874" max="15874" width="14.875" style="1" customWidth="1"/>
    <col min="15875" max="15876" width="9" style="1"/>
    <col min="15877" max="15877" width="33.875" style="1" customWidth="1"/>
    <col min="15878" max="15878" width="47.5" style="1" customWidth="1"/>
    <col min="15879" max="16129" width="9" style="1"/>
    <col min="16130" max="16130" width="14.875" style="1" customWidth="1"/>
    <col min="16131" max="16132" width="9" style="1"/>
    <col min="16133" max="16133" width="33.875" style="1" customWidth="1"/>
    <col min="16134" max="16134" width="47.5" style="1" customWidth="1"/>
    <col min="16135" max="16384" width="9" style="1"/>
  </cols>
  <sheetData>
    <row r="1" spans="1:6" ht="17.25" x14ac:dyDescent="0.2">
      <c r="A1" s="37" t="s">
        <v>86</v>
      </c>
    </row>
    <row r="2" spans="1:6" x14ac:dyDescent="0.15">
      <c r="B2" s="1" t="s">
        <v>87</v>
      </c>
    </row>
    <row r="3" spans="1:6" x14ac:dyDescent="0.15">
      <c r="B3" s="1" t="s">
        <v>88</v>
      </c>
    </row>
    <row r="4" spans="1:6" x14ac:dyDescent="0.15">
      <c r="E4" s="38"/>
    </row>
    <row r="5" spans="1:6" x14ac:dyDescent="0.15">
      <c r="B5" s="1" t="s">
        <v>89</v>
      </c>
      <c r="C5" s="38"/>
      <c r="D5" s="38"/>
      <c r="F5" s="38"/>
    </row>
    <row r="6" spans="1:6" ht="14.25" thickBot="1" x14ac:dyDescent="0.2">
      <c r="C6" s="38"/>
      <c r="D6" s="38"/>
      <c r="F6" s="38"/>
    </row>
    <row r="7" spans="1:6" x14ac:dyDescent="0.15">
      <c r="A7" s="39"/>
      <c r="B7" s="40" t="s">
        <v>90</v>
      </c>
      <c r="C7" s="40"/>
      <c r="D7" s="41"/>
      <c r="E7" s="41"/>
      <c r="F7" s="42"/>
    </row>
    <row r="8" spans="1:6" x14ac:dyDescent="0.15">
      <c r="A8" s="43">
        <v>1</v>
      </c>
      <c r="B8" s="1" t="s">
        <v>91</v>
      </c>
      <c r="F8" s="44"/>
    </row>
    <row r="9" spans="1:6" x14ac:dyDescent="0.15">
      <c r="A9" s="45"/>
      <c r="B9" s="46" t="s">
        <v>92</v>
      </c>
      <c r="F9" s="44"/>
    </row>
    <row r="10" spans="1:6" x14ac:dyDescent="0.15">
      <c r="A10" s="47"/>
      <c r="B10" s="48" t="s">
        <v>93</v>
      </c>
      <c r="C10" s="48"/>
      <c r="D10" s="48"/>
      <c r="E10" s="48"/>
      <c r="F10" s="49"/>
    </row>
    <row r="11" spans="1:6" x14ac:dyDescent="0.15">
      <c r="A11" s="43">
        <v>2</v>
      </c>
      <c r="B11" s="1" t="s">
        <v>94</v>
      </c>
      <c r="F11" s="44"/>
    </row>
    <row r="12" spans="1:6" x14ac:dyDescent="0.15">
      <c r="A12" s="45"/>
      <c r="B12" s="1" t="s">
        <v>95</v>
      </c>
      <c r="F12" s="44"/>
    </row>
    <row r="13" spans="1:6" x14ac:dyDescent="0.15">
      <c r="A13" s="45"/>
      <c r="B13" s="1" t="s">
        <v>96</v>
      </c>
      <c r="F13" s="44"/>
    </row>
    <row r="14" spans="1:6" x14ac:dyDescent="0.15">
      <c r="A14" s="47"/>
      <c r="B14" s="48" t="s">
        <v>97</v>
      </c>
      <c r="C14" s="48"/>
      <c r="D14" s="48"/>
      <c r="E14" s="48"/>
      <c r="F14" s="49"/>
    </row>
    <row r="15" spans="1:6" x14ac:dyDescent="0.15">
      <c r="A15" s="50" t="s">
        <v>98</v>
      </c>
      <c r="B15" s="131" t="s">
        <v>99</v>
      </c>
      <c r="C15" s="132"/>
      <c r="D15" s="132"/>
      <c r="E15" s="132"/>
      <c r="F15" s="133"/>
    </row>
    <row r="16" spans="1:6" x14ac:dyDescent="0.15">
      <c r="A16" s="51"/>
      <c r="B16" s="52" t="s">
        <v>100</v>
      </c>
      <c r="C16" s="53"/>
      <c r="D16" s="53"/>
      <c r="E16" s="53"/>
      <c r="F16" s="54"/>
    </row>
    <row r="17" spans="1:6" x14ac:dyDescent="0.15">
      <c r="A17" s="55"/>
      <c r="B17" s="53" t="s">
        <v>101</v>
      </c>
      <c r="C17" s="53"/>
      <c r="D17" s="53"/>
      <c r="E17" s="53"/>
      <c r="F17" s="54"/>
    </row>
    <row r="18" spans="1:6" ht="14.25" thickBot="1" x14ac:dyDescent="0.2">
      <c r="A18" s="56"/>
      <c r="B18" s="57" t="s">
        <v>102</v>
      </c>
      <c r="C18" s="58"/>
      <c r="D18" s="58"/>
      <c r="E18" s="58"/>
      <c r="F18" s="59"/>
    </row>
    <row r="19" spans="1:6" x14ac:dyDescent="0.15">
      <c r="A19" s="38"/>
    </row>
    <row r="20" spans="1:6" x14ac:dyDescent="0.15">
      <c r="E20" s="1" t="s">
        <v>103</v>
      </c>
    </row>
    <row r="21" spans="1:6" x14ac:dyDescent="0.15">
      <c r="B21" s="60" t="s">
        <v>104</v>
      </c>
      <c r="C21" s="61"/>
      <c r="D21" s="24" t="s">
        <v>105</v>
      </c>
      <c r="E21" s="24" t="s">
        <v>106</v>
      </c>
    </row>
    <row r="22" spans="1:6" x14ac:dyDescent="0.15">
      <c r="B22" s="62"/>
      <c r="C22" s="63"/>
      <c r="D22" s="64" t="s">
        <v>84</v>
      </c>
      <c r="E22" s="65"/>
    </row>
    <row r="23" spans="1:6" x14ac:dyDescent="0.15">
      <c r="B23" s="134" t="s">
        <v>107</v>
      </c>
      <c r="C23" s="135"/>
      <c r="D23" s="65" t="s">
        <v>108</v>
      </c>
      <c r="E23" s="21">
        <v>50</v>
      </c>
    </row>
    <row r="24" spans="1:6" x14ac:dyDescent="0.15">
      <c r="B24" s="134" t="s">
        <v>109</v>
      </c>
      <c r="C24" s="135"/>
      <c r="D24" s="65" t="s">
        <v>108</v>
      </c>
      <c r="E24" s="21">
        <v>100</v>
      </c>
    </row>
    <row r="25" spans="1:6" x14ac:dyDescent="0.15">
      <c r="B25" s="134" t="s">
        <v>110</v>
      </c>
      <c r="C25" s="135"/>
      <c r="D25" s="65" t="s">
        <v>108</v>
      </c>
      <c r="E25" s="14"/>
    </row>
    <row r="26" spans="1:6" x14ac:dyDescent="0.15">
      <c r="B26" s="134" t="s">
        <v>111</v>
      </c>
      <c r="C26" s="135"/>
      <c r="D26" s="14" t="s">
        <v>108</v>
      </c>
      <c r="E26" s="21">
        <v>50</v>
      </c>
    </row>
    <row r="27" spans="1:6" x14ac:dyDescent="0.15">
      <c r="D27" s="38"/>
    </row>
    <row r="28" spans="1:6" x14ac:dyDescent="0.15">
      <c r="B28" s="127"/>
      <c r="C28" s="127"/>
      <c r="E28" s="38"/>
    </row>
    <row r="29" spans="1:6" x14ac:dyDescent="0.15">
      <c r="B29" s="127"/>
      <c r="C29" s="127"/>
      <c r="E29" s="38"/>
    </row>
    <row r="30" spans="1:6" x14ac:dyDescent="0.15">
      <c r="B30" s="127"/>
      <c r="C30" s="127"/>
    </row>
    <row r="31" spans="1:6" x14ac:dyDescent="0.15">
      <c r="B31" s="127"/>
      <c r="C31" s="127"/>
      <c r="E31" s="38"/>
    </row>
    <row r="32" spans="1:6" x14ac:dyDescent="0.15">
      <c r="B32" s="38"/>
      <c r="C32" s="38"/>
      <c r="E32" s="38"/>
    </row>
    <row r="33" spans="2:6" x14ac:dyDescent="0.15">
      <c r="B33" s="1" t="s">
        <v>112</v>
      </c>
    </row>
    <row r="34" spans="2:6" x14ac:dyDescent="0.15">
      <c r="C34" s="1" t="s">
        <v>113</v>
      </c>
      <c r="F34" s="1" t="s">
        <v>114</v>
      </c>
    </row>
    <row r="35" spans="2:6" x14ac:dyDescent="0.15">
      <c r="C35" s="1" t="s">
        <v>115</v>
      </c>
      <c r="F35" s="1" t="s">
        <v>116</v>
      </c>
    </row>
    <row r="36" spans="2:6" x14ac:dyDescent="0.15">
      <c r="C36" s="1" t="s">
        <v>117</v>
      </c>
      <c r="F36" s="1" t="s">
        <v>118</v>
      </c>
    </row>
    <row r="37" spans="2:6" x14ac:dyDescent="0.15">
      <c r="C37" s="1" t="s">
        <v>119</v>
      </c>
      <c r="F37" s="1" t="s">
        <v>120</v>
      </c>
    </row>
  </sheetData>
  <mergeCells count="9">
    <mergeCell ref="B29:C29"/>
    <mergeCell ref="B30:C30"/>
    <mergeCell ref="B31:C31"/>
    <mergeCell ref="B15:F15"/>
    <mergeCell ref="B23:C23"/>
    <mergeCell ref="B24:C24"/>
    <mergeCell ref="B25:C25"/>
    <mergeCell ref="B26:C26"/>
    <mergeCell ref="B28:C28"/>
  </mergeCells>
  <phoneticPr fontId="2"/>
  <pageMargins left="0.75" right="0.75" top="1" bottom="1" header="0.51200000000000001" footer="0.51200000000000001"/>
  <pageSetup paperSize="9" scale="7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30E36-90E2-4B57-BE71-5772759519B6}">
  <dimension ref="A2:H68"/>
  <sheetViews>
    <sheetView topLeftCell="A7" zoomScaleNormal="100" zoomScaleSheetLayoutView="100" workbookViewId="0">
      <selection activeCell="E42" sqref="E42"/>
    </sheetView>
  </sheetViews>
  <sheetFormatPr defaultRowHeight="13.5" x14ac:dyDescent="0.15"/>
  <cols>
    <col min="1" max="1" width="5" style="1" customWidth="1"/>
    <col min="2" max="2" width="4.625" style="1" customWidth="1"/>
    <col min="3" max="3" width="43.125" style="1" customWidth="1"/>
    <col min="4" max="4" width="9" style="1"/>
    <col min="5" max="5" width="14.5" style="1" customWidth="1"/>
    <col min="6" max="6" width="12.875" style="1" customWidth="1"/>
    <col min="7" max="256" width="9" style="1"/>
    <col min="257" max="257" width="5" style="1" customWidth="1"/>
    <col min="258" max="258" width="4.625" style="1" customWidth="1"/>
    <col min="259" max="259" width="43.125" style="1" customWidth="1"/>
    <col min="260" max="260" width="9" style="1"/>
    <col min="261" max="261" width="14.5" style="1" customWidth="1"/>
    <col min="262" max="262" width="12.875" style="1" customWidth="1"/>
    <col min="263" max="512" width="9" style="1"/>
    <col min="513" max="513" width="5" style="1" customWidth="1"/>
    <col min="514" max="514" width="4.625" style="1" customWidth="1"/>
    <col min="515" max="515" width="43.125" style="1" customWidth="1"/>
    <col min="516" max="516" width="9" style="1"/>
    <col min="517" max="517" width="14.5" style="1" customWidth="1"/>
    <col min="518" max="518" width="12.875" style="1" customWidth="1"/>
    <col min="519" max="768" width="9" style="1"/>
    <col min="769" max="769" width="5" style="1" customWidth="1"/>
    <col min="770" max="770" width="4.625" style="1" customWidth="1"/>
    <col min="771" max="771" width="43.125" style="1" customWidth="1"/>
    <col min="772" max="772" width="9" style="1"/>
    <col min="773" max="773" width="14.5" style="1" customWidth="1"/>
    <col min="774" max="774" width="12.875" style="1" customWidth="1"/>
    <col min="775" max="1024" width="9" style="1"/>
    <col min="1025" max="1025" width="5" style="1" customWidth="1"/>
    <col min="1026" max="1026" width="4.625" style="1" customWidth="1"/>
    <col min="1027" max="1027" width="43.125" style="1" customWidth="1"/>
    <col min="1028" max="1028" width="9" style="1"/>
    <col min="1029" max="1029" width="14.5" style="1" customWidth="1"/>
    <col min="1030" max="1030" width="12.875" style="1" customWidth="1"/>
    <col min="1031" max="1280" width="9" style="1"/>
    <col min="1281" max="1281" width="5" style="1" customWidth="1"/>
    <col min="1282" max="1282" width="4.625" style="1" customWidth="1"/>
    <col min="1283" max="1283" width="43.125" style="1" customWidth="1"/>
    <col min="1284" max="1284" width="9" style="1"/>
    <col min="1285" max="1285" width="14.5" style="1" customWidth="1"/>
    <col min="1286" max="1286" width="12.875" style="1" customWidth="1"/>
    <col min="1287" max="1536" width="9" style="1"/>
    <col min="1537" max="1537" width="5" style="1" customWidth="1"/>
    <col min="1538" max="1538" width="4.625" style="1" customWidth="1"/>
    <col min="1539" max="1539" width="43.125" style="1" customWidth="1"/>
    <col min="1540" max="1540" width="9" style="1"/>
    <col min="1541" max="1541" width="14.5" style="1" customWidth="1"/>
    <col min="1542" max="1542" width="12.875" style="1" customWidth="1"/>
    <col min="1543" max="1792" width="9" style="1"/>
    <col min="1793" max="1793" width="5" style="1" customWidth="1"/>
    <col min="1794" max="1794" width="4.625" style="1" customWidth="1"/>
    <col min="1795" max="1795" width="43.125" style="1" customWidth="1"/>
    <col min="1796" max="1796" width="9" style="1"/>
    <col min="1797" max="1797" width="14.5" style="1" customWidth="1"/>
    <col min="1798" max="1798" width="12.875" style="1" customWidth="1"/>
    <col min="1799" max="2048" width="9" style="1"/>
    <col min="2049" max="2049" width="5" style="1" customWidth="1"/>
    <col min="2050" max="2050" width="4.625" style="1" customWidth="1"/>
    <col min="2051" max="2051" width="43.125" style="1" customWidth="1"/>
    <col min="2052" max="2052" width="9" style="1"/>
    <col min="2053" max="2053" width="14.5" style="1" customWidth="1"/>
    <col min="2054" max="2054" width="12.875" style="1" customWidth="1"/>
    <col min="2055" max="2304" width="9" style="1"/>
    <col min="2305" max="2305" width="5" style="1" customWidth="1"/>
    <col min="2306" max="2306" width="4.625" style="1" customWidth="1"/>
    <col min="2307" max="2307" width="43.125" style="1" customWidth="1"/>
    <col min="2308" max="2308" width="9" style="1"/>
    <col min="2309" max="2309" width="14.5" style="1" customWidth="1"/>
    <col min="2310" max="2310" width="12.875" style="1" customWidth="1"/>
    <col min="2311" max="2560" width="9" style="1"/>
    <col min="2561" max="2561" width="5" style="1" customWidth="1"/>
    <col min="2562" max="2562" width="4.625" style="1" customWidth="1"/>
    <col min="2563" max="2563" width="43.125" style="1" customWidth="1"/>
    <col min="2564" max="2564" width="9" style="1"/>
    <col min="2565" max="2565" width="14.5" style="1" customWidth="1"/>
    <col min="2566" max="2566" width="12.875" style="1" customWidth="1"/>
    <col min="2567" max="2816" width="9" style="1"/>
    <col min="2817" max="2817" width="5" style="1" customWidth="1"/>
    <col min="2818" max="2818" width="4.625" style="1" customWidth="1"/>
    <col min="2819" max="2819" width="43.125" style="1" customWidth="1"/>
    <col min="2820" max="2820" width="9" style="1"/>
    <col min="2821" max="2821" width="14.5" style="1" customWidth="1"/>
    <col min="2822" max="2822" width="12.875" style="1" customWidth="1"/>
    <col min="2823" max="3072" width="9" style="1"/>
    <col min="3073" max="3073" width="5" style="1" customWidth="1"/>
    <col min="3074" max="3074" width="4.625" style="1" customWidth="1"/>
    <col min="3075" max="3075" width="43.125" style="1" customWidth="1"/>
    <col min="3076" max="3076" width="9" style="1"/>
    <col min="3077" max="3077" width="14.5" style="1" customWidth="1"/>
    <col min="3078" max="3078" width="12.875" style="1" customWidth="1"/>
    <col min="3079" max="3328" width="9" style="1"/>
    <col min="3329" max="3329" width="5" style="1" customWidth="1"/>
    <col min="3330" max="3330" width="4.625" style="1" customWidth="1"/>
    <col min="3331" max="3331" width="43.125" style="1" customWidth="1"/>
    <col min="3332" max="3332" width="9" style="1"/>
    <col min="3333" max="3333" width="14.5" style="1" customWidth="1"/>
    <col min="3334" max="3334" width="12.875" style="1" customWidth="1"/>
    <col min="3335" max="3584" width="9" style="1"/>
    <col min="3585" max="3585" width="5" style="1" customWidth="1"/>
    <col min="3586" max="3586" width="4.625" style="1" customWidth="1"/>
    <col min="3587" max="3587" width="43.125" style="1" customWidth="1"/>
    <col min="3588" max="3588" width="9" style="1"/>
    <col min="3589" max="3589" width="14.5" style="1" customWidth="1"/>
    <col min="3590" max="3590" width="12.875" style="1" customWidth="1"/>
    <col min="3591" max="3840" width="9" style="1"/>
    <col min="3841" max="3841" width="5" style="1" customWidth="1"/>
    <col min="3842" max="3842" width="4.625" style="1" customWidth="1"/>
    <col min="3843" max="3843" width="43.125" style="1" customWidth="1"/>
    <col min="3844" max="3844" width="9" style="1"/>
    <col min="3845" max="3845" width="14.5" style="1" customWidth="1"/>
    <col min="3846" max="3846" width="12.875" style="1" customWidth="1"/>
    <col min="3847" max="4096" width="9" style="1"/>
    <col min="4097" max="4097" width="5" style="1" customWidth="1"/>
    <col min="4098" max="4098" width="4.625" style="1" customWidth="1"/>
    <col min="4099" max="4099" width="43.125" style="1" customWidth="1"/>
    <col min="4100" max="4100" width="9" style="1"/>
    <col min="4101" max="4101" width="14.5" style="1" customWidth="1"/>
    <col min="4102" max="4102" width="12.875" style="1" customWidth="1"/>
    <col min="4103" max="4352" width="9" style="1"/>
    <col min="4353" max="4353" width="5" style="1" customWidth="1"/>
    <col min="4354" max="4354" width="4.625" style="1" customWidth="1"/>
    <col min="4355" max="4355" width="43.125" style="1" customWidth="1"/>
    <col min="4356" max="4356" width="9" style="1"/>
    <col min="4357" max="4357" width="14.5" style="1" customWidth="1"/>
    <col min="4358" max="4358" width="12.875" style="1" customWidth="1"/>
    <col min="4359" max="4608" width="9" style="1"/>
    <col min="4609" max="4609" width="5" style="1" customWidth="1"/>
    <col min="4610" max="4610" width="4.625" style="1" customWidth="1"/>
    <col min="4611" max="4611" width="43.125" style="1" customWidth="1"/>
    <col min="4612" max="4612" width="9" style="1"/>
    <col min="4613" max="4613" width="14.5" style="1" customWidth="1"/>
    <col min="4614" max="4614" width="12.875" style="1" customWidth="1"/>
    <col min="4615" max="4864" width="9" style="1"/>
    <col min="4865" max="4865" width="5" style="1" customWidth="1"/>
    <col min="4866" max="4866" width="4.625" style="1" customWidth="1"/>
    <col min="4867" max="4867" width="43.125" style="1" customWidth="1"/>
    <col min="4868" max="4868" width="9" style="1"/>
    <col min="4869" max="4869" width="14.5" style="1" customWidth="1"/>
    <col min="4870" max="4870" width="12.875" style="1" customWidth="1"/>
    <col min="4871" max="5120" width="9" style="1"/>
    <col min="5121" max="5121" width="5" style="1" customWidth="1"/>
    <col min="5122" max="5122" width="4.625" style="1" customWidth="1"/>
    <col min="5123" max="5123" width="43.125" style="1" customWidth="1"/>
    <col min="5124" max="5124" width="9" style="1"/>
    <col min="5125" max="5125" width="14.5" style="1" customWidth="1"/>
    <col min="5126" max="5126" width="12.875" style="1" customWidth="1"/>
    <col min="5127" max="5376" width="9" style="1"/>
    <col min="5377" max="5377" width="5" style="1" customWidth="1"/>
    <col min="5378" max="5378" width="4.625" style="1" customWidth="1"/>
    <col min="5379" max="5379" width="43.125" style="1" customWidth="1"/>
    <col min="5380" max="5380" width="9" style="1"/>
    <col min="5381" max="5381" width="14.5" style="1" customWidth="1"/>
    <col min="5382" max="5382" width="12.875" style="1" customWidth="1"/>
    <col min="5383" max="5632" width="9" style="1"/>
    <col min="5633" max="5633" width="5" style="1" customWidth="1"/>
    <col min="5634" max="5634" width="4.625" style="1" customWidth="1"/>
    <col min="5635" max="5635" width="43.125" style="1" customWidth="1"/>
    <col min="5636" max="5636" width="9" style="1"/>
    <col min="5637" max="5637" width="14.5" style="1" customWidth="1"/>
    <col min="5638" max="5638" width="12.875" style="1" customWidth="1"/>
    <col min="5639" max="5888" width="9" style="1"/>
    <col min="5889" max="5889" width="5" style="1" customWidth="1"/>
    <col min="5890" max="5890" width="4.625" style="1" customWidth="1"/>
    <col min="5891" max="5891" width="43.125" style="1" customWidth="1"/>
    <col min="5892" max="5892" width="9" style="1"/>
    <col min="5893" max="5893" width="14.5" style="1" customWidth="1"/>
    <col min="5894" max="5894" width="12.875" style="1" customWidth="1"/>
    <col min="5895" max="6144" width="9" style="1"/>
    <col min="6145" max="6145" width="5" style="1" customWidth="1"/>
    <col min="6146" max="6146" width="4.625" style="1" customWidth="1"/>
    <col min="6147" max="6147" width="43.125" style="1" customWidth="1"/>
    <col min="6148" max="6148" width="9" style="1"/>
    <col min="6149" max="6149" width="14.5" style="1" customWidth="1"/>
    <col min="6150" max="6150" width="12.875" style="1" customWidth="1"/>
    <col min="6151" max="6400" width="9" style="1"/>
    <col min="6401" max="6401" width="5" style="1" customWidth="1"/>
    <col min="6402" max="6402" width="4.625" style="1" customWidth="1"/>
    <col min="6403" max="6403" width="43.125" style="1" customWidth="1"/>
    <col min="6404" max="6404" width="9" style="1"/>
    <col min="6405" max="6405" width="14.5" style="1" customWidth="1"/>
    <col min="6406" max="6406" width="12.875" style="1" customWidth="1"/>
    <col min="6407" max="6656" width="9" style="1"/>
    <col min="6657" max="6657" width="5" style="1" customWidth="1"/>
    <col min="6658" max="6658" width="4.625" style="1" customWidth="1"/>
    <col min="6659" max="6659" width="43.125" style="1" customWidth="1"/>
    <col min="6660" max="6660" width="9" style="1"/>
    <col min="6661" max="6661" width="14.5" style="1" customWidth="1"/>
    <col min="6662" max="6662" width="12.875" style="1" customWidth="1"/>
    <col min="6663" max="6912" width="9" style="1"/>
    <col min="6913" max="6913" width="5" style="1" customWidth="1"/>
    <col min="6914" max="6914" width="4.625" style="1" customWidth="1"/>
    <col min="6915" max="6915" width="43.125" style="1" customWidth="1"/>
    <col min="6916" max="6916" width="9" style="1"/>
    <col min="6917" max="6917" width="14.5" style="1" customWidth="1"/>
    <col min="6918" max="6918" width="12.875" style="1" customWidth="1"/>
    <col min="6919" max="7168" width="9" style="1"/>
    <col min="7169" max="7169" width="5" style="1" customWidth="1"/>
    <col min="7170" max="7170" width="4.625" style="1" customWidth="1"/>
    <col min="7171" max="7171" width="43.125" style="1" customWidth="1"/>
    <col min="7172" max="7172" width="9" style="1"/>
    <col min="7173" max="7173" width="14.5" style="1" customWidth="1"/>
    <col min="7174" max="7174" width="12.875" style="1" customWidth="1"/>
    <col min="7175" max="7424" width="9" style="1"/>
    <col min="7425" max="7425" width="5" style="1" customWidth="1"/>
    <col min="7426" max="7426" width="4.625" style="1" customWidth="1"/>
    <col min="7427" max="7427" width="43.125" style="1" customWidth="1"/>
    <col min="7428" max="7428" width="9" style="1"/>
    <col min="7429" max="7429" width="14.5" style="1" customWidth="1"/>
    <col min="7430" max="7430" width="12.875" style="1" customWidth="1"/>
    <col min="7431" max="7680" width="9" style="1"/>
    <col min="7681" max="7681" width="5" style="1" customWidth="1"/>
    <col min="7682" max="7682" width="4.625" style="1" customWidth="1"/>
    <col min="7683" max="7683" width="43.125" style="1" customWidth="1"/>
    <col min="7684" max="7684" width="9" style="1"/>
    <col min="7685" max="7685" width="14.5" style="1" customWidth="1"/>
    <col min="7686" max="7686" width="12.875" style="1" customWidth="1"/>
    <col min="7687" max="7936" width="9" style="1"/>
    <col min="7937" max="7937" width="5" style="1" customWidth="1"/>
    <col min="7938" max="7938" width="4.625" style="1" customWidth="1"/>
    <col min="7939" max="7939" width="43.125" style="1" customWidth="1"/>
    <col min="7940" max="7940" width="9" style="1"/>
    <col min="7941" max="7941" width="14.5" style="1" customWidth="1"/>
    <col min="7942" max="7942" width="12.875" style="1" customWidth="1"/>
    <col min="7943" max="8192" width="9" style="1"/>
    <col min="8193" max="8193" width="5" style="1" customWidth="1"/>
    <col min="8194" max="8194" width="4.625" style="1" customWidth="1"/>
    <col min="8195" max="8195" width="43.125" style="1" customWidth="1"/>
    <col min="8196" max="8196" width="9" style="1"/>
    <col min="8197" max="8197" width="14.5" style="1" customWidth="1"/>
    <col min="8198" max="8198" width="12.875" style="1" customWidth="1"/>
    <col min="8199" max="8448" width="9" style="1"/>
    <col min="8449" max="8449" width="5" style="1" customWidth="1"/>
    <col min="8450" max="8450" width="4.625" style="1" customWidth="1"/>
    <col min="8451" max="8451" width="43.125" style="1" customWidth="1"/>
    <col min="8452" max="8452" width="9" style="1"/>
    <col min="8453" max="8453" width="14.5" style="1" customWidth="1"/>
    <col min="8454" max="8454" width="12.875" style="1" customWidth="1"/>
    <col min="8455" max="8704" width="9" style="1"/>
    <col min="8705" max="8705" width="5" style="1" customWidth="1"/>
    <col min="8706" max="8706" width="4.625" style="1" customWidth="1"/>
    <col min="8707" max="8707" width="43.125" style="1" customWidth="1"/>
    <col min="8708" max="8708" width="9" style="1"/>
    <col min="8709" max="8709" width="14.5" style="1" customWidth="1"/>
    <col min="8710" max="8710" width="12.875" style="1" customWidth="1"/>
    <col min="8711" max="8960" width="9" style="1"/>
    <col min="8961" max="8961" width="5" style="1" customWidth="1"/>
    <col min="8962" max="8962" width="4.625" style="1" customWidth="1"/>
    <col min="8963" max="8963" width="43.125" style="1" customWidth="1"/>
    <col min="8964" max="8964" width="9" style="1"/>
    <col min="8965" max="8965" width="14.5" style="1" customWidth="1"/>
    <col min="8966" max="8966" width="12.875" style="1" customWidth="1"/>
    <col min="8967" max="9216" width="9" style="1"/>
    <col min="9217" max="9217" width="5" style="1" customWidth="1"/>
    <col min="9218" max="9218" width="4.625" style="1" customWidth="1"/>
    <col min="9219" max="9219" width="43.125" style="1" customWidth="1"/>
    <col min="9220" max="9220" width="9" style="1"/>
    <col min="9221" max="9221" width="14.5" style="1" customWidth="1"/>
    <col min="9222" max="9222" width="12.875" style="1" customWidth="1"/>
    <col min="9223" max="9472" width="9" style="1"/>
    <col min="9473" max="9473" width="5" style="1" customWidth="1"/>
    <col min="9474" max="9474" width="4.625" style="1" customWidth="1"/>
    <col min="9475" max="9475" width="43.125" style="1" customWidth="1"/>
    <col min="9476" max="9476" width="9" style="1"/>
    <col min="9477" max="9477" width="14.5" style="1" customWidth="1"/>
    <col min="9478" max="9478" width="12.875" style="1" customWidth="1"/>
    <col min="9479" max="9728" width="9" style="1"/>
    <col min="9729" max="9729" width="5" style="1" customWidth="1"/>
    <col min="9730" max="9730" width="4.625" style="1" customWidth="1"/>
    <col min="9731" max="9731" width="43.125" style="1" customWidth="1"/>
    <col min="9732" max="9732" width="9" style="1"/>
    <col min="9733" max="9733" width="14.5" style="1" customWidth="1"/>
    <col min="9734" max="9734" width="12.875" style="1" customWidth="1"/>
    <col min="9735" max="9984" width="9" style="1"/>
    <col min="9985" max="9985" width="5" style="1" customWidth="1"/>
    <col min="9986" max="9986" width="4.625" style="1" customWidth="1"/>
    <col min="9987" max="9987" width="43.125" style="1" customWidth="1"/>
    <col min="9988" max="9988" width="9" style="1"/>
    <col min="9989" max="9989" width="14.5" style="1" customWidth="1"/>
    <col min="9990" max="9990" width="12.875" style="1" customWidth="1"/>
    <col min="9991" max="10240" width="9" style="1"/>
    <col min="10241" max="10241" width="5" style="1" customWidth="1"/>
    <col min="10242" max="10242" width="4.625" style="1" customWidth="1"/>
    <col min="10243" max="10243" width="43.125" style="1" customWidth="1"/>
    <col min="10244" max="10244" width="9" style="1"/>
    <col min="10245" max="10245" width="14.5" style="1" customWidth="1"/>
    <col min="10246" max="10246" width="12.875" style="1" customWidth="1"/>
    <col min="10247" max="10496" width="9" style="1"/>
    <col min="10497" max="10497" width="5" style="1" customWidth="1"/>
    <col min="10498" max="10498" width="4.625" style="1" customWidth="1"/>
    <col min="10499" max="10499" width="43.125" style="1" customWidth="1"/>
    <col min="10500" max="10500" width="9" style="1"/>
    <col min="10501" max="10501" width="14.5" style="1" customWidth="1"/>
    <col min="10502" max="10502" width="12.875" style="1" customWidth="1"/>
    <col min="10503" max="10752" width="9" style="1"/>
    <col min="10753" max="10753" width="5" style="1" customWidth="1"/>
    <col min="10754" max="10754" width="4.625" style="1" customWidth="1"/>
    <col min="10755" max="10755" width="43.125" style="1" customWidth="1"/>
    <col min="10756" max="10756" width="9" style="1"/>
    <col min="10757" max="10757" width="14.5" style="1" customWidth="1"/>
    <col min="10758" max="10758" width="12.875" style="1" customWidth="1"/>
    <col min="10759" max="11008" width="9" style="1"/>
    <col min="11009" max="11009" width="5" style="1" customWidth="1"/>
    <col min="11010" max="11010" width="4.625" style="1" customWidth="1"/>
    <col min="11011" max="11011" width="43.125" style="1" customWidth="1"/>
    <col min="11012" max="11012" width="9" style="1"/>
    <col min="11013" max="11013" width="14.5" style="1" customWidth="1"/>
    <col min="11014" max="11014" width="12.875" style="1" customWidth="1"/>
    <col min="11015" max="11264" width="9" style="1"/>
    <col min="11265" max="11265" width="5" style="1" customWidth="1"/>
    <col min="11266" max="11266" width="4.625" style="1" customWidth="1"/>
    <col min="11267" max="11267" width="43.125" style="1" customWidth="1"/>
    <col min="11268" max="11268" width="9" style="1"/>
    <col min="11269" max="11269" width="14.5" style="1" customWidth="1"/>
    <col min="11270" max="11270" width="12.875" style="1" customWidth="1"/>
    <col min="11271" max="11520" width="9" style="1"/>
    <col min="11521" max="11521" width="5" style="1" customWidth="1"/>
    <col min="11522" max="11522" width="4.625" style="1" customWidth="1"/>
    <col min="11523" max="11523" width="43.125" style="1" customWidth="1"/>
    <col min="11524" max="11524" width="9" style="1"/>
    <col min="11525" max="11525" width="14.5" style="1" customWidth="1"/>
    <col min="11526" max="11526" width="12.875" style="1" customWidth="1"/>
    <col min="11527" max="11776" width="9" style="1"/>
    <col min="11777" max="11777" width="5" style="1" customWidth="1"/>
    <col min="11778" max="11778" width="4.625" style="1" customWidth="1"/>
    <col min="11779" max="11779" width="43.125" style="1" customWidth="1"/>
    <col min="11780" max="11780" width="9" style="1"/>
    <col min="11781" max="11781" width="14.5" style="1" customWidth="1"/>
    <col min="11782" max="11782" width="12.875" style="1" customWidth="1"/>
    <col min="11783" max="12032" width="9" style="1"/>
    <col min="12033" max="12033" width="5" style="1" customWidth="1"/>
    <col min="12034" max="12034" width="4.625" style="1" customWidth="1"/>
    <col min="12035" max="12035" width="43.125" style="1" customWidth="1"/>
    <col min="12036" max="12036" width="9" style="1"/>
    <col min="12037" max="12037" width="14.5" style="1" customWidth="1"/>
    <col min="12038" max="12038" width="12.875" style="1" customWidth="1"/>
    <col min="12039" max="12288" width="9" style="1"/>
    <col min="12289" max="12289" width="5" style="1" customWidth="1"/>
    <col min="12290" max="12290" width="4.625" style="1" customWidth="1"/>
    <col min="12291" max="12291" width="43.125" style="1" customWidth="1"/>
    <col min="12292" max="12292" width="9" style="1"/>
    <col min="12293" max="12293" width="14.5" style="1" customWidth="1"/>
    <col min="12294" max="12294" width="12.875" style="1" customWidth="1"/>
    <col min="12295" max="12544" width="9" style="1"/>
    <col min="12545" max="12545" width="5" style="1" customWidth="1"/>
    <col min="12546" max="12546" width="4.625" style="1" customWidth="1"/>
    <col min="12547" max="12547" width="43.125" style="1" customWidth="1"/>
    <col min="12548" max="12548" width="9" style="1"/>
    <col min="12549" max="12549" width="14.5" style="1" customWidth="1"/>
    <col min="12550" max="12550" width="12.875" style="1" customWidth="1"/>
    <col min="12551" max="12800" width="9" style="1"/>
    <col min="12801" max="12801" width="5" style="1" customWidth="1"/>
    <col min="12802" max="12802" width="4.625" style="1" customWidth="1"/>
    <col min="12803" max="12803" width="43.125" style="1" customWidth="1"/>
    <col min="12804" max="12804" width="9" style="1"/>
    <col min="12805" max="12805" width="14.5" style="1" customWidth="1"/>
    <col min="12806" max="12806" width="12.875" style="1" customWidth="1"/>
    <col min="12807" max="13056" width="9" style="1"/>
    <col min="13057" max="13057" width="5" style="1" customWidth="1"/>
    <col min="13058" max="13058" width="4.625" style="1" customWidth="1"/>
    <col min="13059" max="13059" width="43.125" style="1" customWidth="1"/>
    <col min="13060" max="13060" width="9" style="1"/>
    <col min="13061" max="13061" width="14.5" style="1" customWidth="1"/>
    <col min="13062" max="13062" width="12.875" style="1" customWidth="1"/>
    <col min="13063" max="13312" width="9" style="1"/>
    <col min="13313" max="13313" width="5" style="1" customWidth="1"/>
    <col min="13314" max="13314" width="4.625" style="1" customWidth="1"/>
    <col min="13315" max="13315" width="43.125" style="1" customWidth="1"/>
    <col min="13316" max="13316" width="9" style="1"/>
    <col min="13317" max="13317" width="14.5" style="1" customWidth="1"/>
    <col min="13318" max="13318" width="12.875" style="1" customWidth="1"/>
    <col min="13319" max="13568" width="9" style="1"/>
    <col min="13569" max="13569" width="5" style="1" customWidth="1"/>
    <col min="13570" max="13570" width="4.625" style="1" customWidth="1"/>
    <col min="13571" max="13571" width="43.125" style="1" customWidth="1"/>
    <col min="13572" max="13572" width="9" style="1"/>
    <col min="13573" max="13573" width="14.5" style="1" customWidth="1"/>
    <col min="13574" max="13574" width="12.875" style="1" customWidth="1"/>
    <col min="13575" max="13824" width="9" style="1"/>
    <col min="13825" max="13825" width="5" style="1" customWidth="1"/>
    <col min="13826" max="13826" width="4.625" style="1" customWidth="1"/>
    <col min="13827" max="13827" width="43.125" style="1" customWidth="1"/>
    <col min="13828" max="13828" width="9" style="1"/>
    <col min="13829" max="13829" width="14.5" style="1" customWidth="1"/>
    <col min="13830" max="13830" width="12.875" style="1" customWidth="1"/>
    <col min="13831" max="14080" width="9" style="1"/>
    <col min="14081" max="14081" width="5" style="1" customWidth="1"/>
    <col min="14082" max="14082" width="4.625" style="1" customWidth="1"/>
    <col min="14083" max="14083" width="43.125" style="1" customWidth="1"/>
    <col min="14084" max="14084" width="9" style="1"/>
    <col min="14085" max="14085" width="14.5" style="1" customWidth="1"/>
    <col min="14086" max="14086" width="12.875" style="1" customWidth="1"/>
    <col min="14087" max="14336" width="9" style="1"/>
    <col min="14337" max="14337" width="5" style="1" customWidth="1"/>
    <col min="14338" max="14338" width="4.625" style="1" customWidth="1"/>
    <col min="14339" max="14339" width="43.125" style="1" customWidth="1"/>
    <col min="14340" max="14340" width="9" style="1"/>
    <col min="14341" max="14341" width="14.5" style="1" customWidth="1"/>
    <col min="14342" max="14342" width="12.875" style="1" customWidth="1"/>
    <col min="14343" max="14592" width="9" style="1"/>
    <col min="14593" max="14593" width="5" style="1" customWidth="1"/>
    <col min="14594" max="14594" width="4.625" style="1" customWidth="1"/>
    <col min="14595" max="14595" width="43.125" style="1" customWidth="1"/>
    <col min="14596" max="14596" width="9" style="1"/>
    <col min="14597" max="14597" width="14.5" style="1" customWidth="1"/>
    <col min="14598" max="14598" width="12.875" style="1" customWidth="1"/>
    <col min="14599" max="14848" width="9" style="1"/>
    <col min="14849" max="14849" width="5" style="1" customWidth="1"/>
    <col min="14850" max="14850" width="4.625" style="1" customWidth="1"/>
    <col min="14851" max="14851" width="43.125" style="1" customWidth="1"/>
    <col min="14852" max="14852" width="9" style="1"/>
    <col min="14853" max="14853" width="14.5" style="1" customWidth="1"/>
    <col min="14854" max="14854" width="12.875" style="1" customWidth="1"/>
    <col min="14855" max="15104" width="9" style="1"/>
    <col min="15105" max="15105" width="5" style="1" customWidth="1"/>
    <col min="15106" max="15106" width="4.625" style="1" customWidth="1"/>
    <col min="15107" max="15107" width="43.125" style="1" customWidth="1"/>
    <col min="15108" max="15108" width="9" style="1"/>
    <col min="15109" max="15109" width="14.5" style="1" customWidth="1"/>
    <col min="15110" max="15110" width="12.875" style="1" customWidth="1"/>
    <col min="15111" max="15360" width="9" style="1"/>
    <col min="15361" max="15361" width="5" style="1" customWidth="1"/>
    <col min="15362" max="15362" width="4.625" style="1" customWidth="1"/>
    <col min="15363" max="15363" width="43.125" style="1" customWidth="1"/>
    <col min="15364" max="15364" width="9" style="1"/>
    <col min="15365" max="15365" width="14.5" style="1" customWidth="1"/>
    <col min="15366" max="15366" width="12.875" style="1" customWidth="1"/>
    <col min="15367" max="15616" width="9" style="1"/>
    <col min="15617" max="15617" width="5" style="1" customWidth="1"/>
    <col min="15618" max="15618" width="4.625" style="1" customWidth="1"/>
    <col min="15619" max="15619" width="43.125" style="1" customWidth="1"/>
    <col min="15620" max="15620" width="9" style="1"/>
    <col min="15621" max="15621" width="14.5" style="1" customWidth="1"/>
    <col min="15622" max="15622" width="12.875" style="1" customWidth="1"/>
    <col min="15623" max="15872" width="9" style="1"/>
    <col min="15873" max="15873" width="5" style="1" customWidth="1"/>
    <col min="15874" max="15874" width="4.625" style="1" customWidth="1"/>
    <col min="15875" max="15875" width="43.125" style="1" customWidth="1"/>
    <col min="15876" max="15876" width="9" style="1"/>
    <col min="15877" max="15877" width="14.5" style="1" customWidth="1"/>
    <col min="15878" max="15878" width="12.875" style="1" customWidth="1"/>
    <col min="15879" max="16128" width="9" style="1"/>
    <col min="16129" max="16129" width="5" style="1" customWidth="1"/>
    <col min="16130" max="16130" width="4.625" style="1" customWidth="1"/>
    <col min="16131" max="16131" width="43.125" style="1" customWidth="1"/>
    <col min="16132" max="16132" width="9" style="1"/>
    <col min="16133" max="16133" width="14.5" style="1" customWidth="1"/>
    <col min="16134" max="16134" width="12.875" style="1" customWidth="1"/>
    <col min="16135" max="16384" width="9" style="1"/>
  </cols>
  <sheetData>
    <row r="2" spans="5:5" ht="17.25" x14ac:dyDescent="0.2">
      <c r="E2" s="37" t="s">
        <v>121</v>
      </c>
    </row>
    <row r="4" spans="5:5" x14ac:dyDescent="0.15">
      <c r="E4" s="1" t="s">
        <v>122</v>
      </c>
    </row>
    <row r="27" spans="6:8" x14ac:dyDescent="0.15">
      <c r="H27" s="1" t="s">
        <v>123</v>
      </c>
    </row>
    <row r="31" spans="6:8" x14ac:dyDescent="0.15">
      <c r="F31" s="1" t="s">
        <v>124</v>
      </c>
    </row>
    <row r="44" spans="1:6" x14ac:dyDescent="0.15">
      <c r="E44" s="1" t="s">
        <v>125</v>
      </c>
    </row>
    <row r="45" spans="1:6" x14ac:dyDescent="0.15">
      <c r="A45" s="53">
        <v>1</v>
      </c>
      <c r="B45" s="53" t="s">
        <v>126</v>
      </c>
    </row>
    <row r="46" spans="1:6" x14ac:dyDescent="0.15">
      <c r="B46" s="48"/>
      <c r="C46" s="66" t="s">
        <v>127</v>
      </c>
      <c r="E46" s="67" t="str">
        <f>"仕上り1;"&amp;E55&amp;"割"</f>
        <v>仕上り1;3割</v>
      </c>
      <c r="F46" s="67" t="str">
        <f>"仕上り1;"&amp;F55&amp;"割"</f>
        <v>仕上り1;2割</v>
      </c>
    </row>
    <row r="47" spans="1:6" x14ac:dyDescent="0.15">
      <c r="B47" s="21" t="s">
        <v>4</v>
      </c>
      <c r="C47" s="21" t="s">
        <v>5</v>
      </c>
      <c r="D47" s="21" t="s">
        <v>7</v>
      </c>
      <c r="E47" s="68" t="str">
        <f>"下地１；"&amp;E54&amp;"割"</f>
        <v>下地１；2割</v>
      </c>
      <c r="F47" s="68" t="str">
        <f>"下地１；"&amp;F54&amp;"割"</f>
        <v>下地１；1.5割</v>
      </c>
    </row>
    <row r="48" spans="1:6" x14ac:dyDescent="0.15">
      <c r="B48" s="21" t="s">
        <v>128</v>
      </c>
      <c r="C48" s="14" t="s">
        <v>129</v>
      </c>
      <c r="D48" s="69" t="s">
        <v>34</v>
      </c>
      <c r="E48" s="70">
        <v>4.5</v>
      </c>
      <c r="F48" s="71">
        <v>4.5</v>
      </c>
    </row>
    <row r="49" spans="1:8" x14ac:dyDescent="0.15">
      <c r="B49" s="21" t="s">
        <v>130</v>
      </c>
      <c r="C49" s="14" t="s">
        <v>131</v>
      </c>
      <c r="D49" s="69" t="s">
        <v>34</v>
      </c>
      <c r="E49" s="70">
        <v>2.6</v>
      </c>
      <c r="F49" s="71">
        <v>0</v>
      </c>
      <c r="G49" s="1" t="s">
        <v>132</v>
      </c>
    </row>
    <row r="50" spans="1:8" x14ac:dyDescent="0.15">
      <c r="B50" s="21" t="s">
        <v>133</v>
      </c>
      <c r="C50" s="14" t="s">
        <v>134</v>
      </c>
      <c r="D50" s="69" t="s">
        <v>34</v>
      </c>
      <c r="E50" s="70">
        <v>0.3</v>
      </c>
      <c r="F50" s="71">
        <v>1.1000000000000001</v>
      </c>
    </row>
    <row r="51" spans="1:8" x14ac:dyDescent="0.15">
      <c r="B51" s="21" t="s">
        <v>135</v>
      </c>
      <c r="C51" s="14" t="s">
        <v>136</v>
      </c>
      <c r="D51" s="69" t="s">
        <v>16</v>
      </c>
      <c r="E51" s="72">
        <f>ATAN(1/E54)*180/PI()</f>
        <v>26.56505117707799</v>
      </c>
      <c r="F51" s="72">
        <f>ATAN(1/F54)*180/PI()</f>
        <v>33.690067525979785</v>
      </c>
    </row>
    <row r="52" spans="1:8" x14ac:dyDescent="0.15">
      <c r="B52" s="21" t="s">
        <v>30</v>
      </c>
      <c r="C52" s="14" t="s">
        <v>137</v>
      </c>
      <c r="D52" s="73" t="s">
        <v>16</v>
      </c>
      <c r="E52" s="74">
        <f>ATAN(1/E55)*180/PI()</f>
        <v>18.43494882292201</v>
      </c>
      <c r="F52" s="74">
        <f>ATAN(1/F55)*180/PI()</f>
        <v>26.56505117707799</v>
      </c>
    </row>
    <row r="53" spans="1:8" x14ac:dyDescent="0.15">
      <c r="B53" s="21" t="s">
        <v>138</v>
      </c>
      <c r="C53" s="14" t="s">
        <v>139</v>
      </c>
      <c r="D53" s="69" t="s">
        <v>34</v>
      </c>
      <c r="E53" s="72">
        <f>ROUND(E48*(1-(TAN(E52*PI()/180)/TAN(E51*PI()/180)))+(TAN(E52*PI()/180)/SIN(E51*PI()/180))*E50,2)</f>
        <v>1.72</v>
      </c>
      <c r="F53" s="72">
        <f>ROUND(F48*(1-(TAN(F52*PI()/180)/TAN(F51*PI()/180)))+(TAN(F52*PI()/180)/SIN(F51*PI()/180))*F50,2)</f>
        <v>2.12</v>
      </c>
    </row>
    <row r="54" spans="1:8" x14ac:dyDescent="0.15">
      <c r="B54" s="21" t="s">
        <v>140</v>
      </c>
      <c r="C54" s="14" t="s">
        <v>141</v>
      </c>
      <c r="D54" s="75" t="s">
        <v>23</v>
      </c>
      <c r="E54" s="76">
        <f>[1]テーパー化間隙圧有りSheet1!E37</f>
        <v>2</v>
      </c>
      <c r="F54" s="76">
        <v>1.5</v>
      </c>
    </row>
    <row r="55" spans="1:8" x14ac:dyDescent="0.15">
      <c r="B55" s="21" t="s">
        <v>142</v>
      </c>
      <c r="C55" s="14" t="s">
        <v>143</v>
      </c>
      <c r="D55" s="75" t="s">
        <v>23</v>
      </c>
      <c r="E55" s="77">
        <v>3</v>
      </c>
      <c r="F55" s="77">
        <v>2</v>
      </c>
    </row>
    <row r="56" spans="1:8" x14ac:dyDescent="0.15">
      <c r="B56" s="21" t="s">
        <v>144</v>
      </c>
      <c r="C56" s="14" t="s">
        <v>145</v>
      </c>
      <c r="D56" s="14"/>
      <c r="E56" s="78">
        <f>E49-E53</f>
        <v>0.88000000000000012</v>
      </c>
      <c r="F56" s="14">
        <f>F49-F53</f>
        <v>-2.12</v>
      </c>
    </row>
    <row r="57" spans="1:8" x14ac:dyDescent="0.15">
      <c r="B57" s="21"/>
      <c r="C57" s="14" t="s">
        <v>146</v>
      </c>
      <c r="D57" s="75"/>
      <c r="E57" s="79" t="str">
        <f>IF(E49&gt;=E53,"Sheet1（Hw≧h')","Sheet2(Hw&lt;h')")</f>
        <v>Sheet1（Hw≧h')</v>
      </c>
      <c r="F57" s="79" t="str">
        <f>IF(F49&gt;=F53,"Sheet1（Hw≧h')","Sheet2(Hw&lt;h')")</f>
        <v>Sheet2(Hw&lt;h')</v>
      </c>
    </row>
    <row r="59" spans="1:8" x14ac:dyDescent="0.15">
      <c r="B59" s="38"/>
    </row>
    <row r="61" spans="1:8" x14ac:dyDescent="0.15">
      <c r="A61" s="53">
        <v>2</v>
      </c>
      <c r="B61" s="53" t="s">
        <v>147</v>
      </c>
    </row>
    <row r="62" spans="1:8" x14ac:dyDescent="0.15">
      <c r="C62" s="1" t="s">
        <v>148</v>
      </c>
    </row>
    <row r="64" spans="1:8" x14ac:dyDescent="0.15">
      <c r="B64" s="21" t="s">
        <v>149</v>
      </c>
      <c r="C64" s="14" t="s">
        <v>105</v>
      </c>
      <c r="D64" s="75"/>
      <c r="E64" s="80">
        <f>IF(E49&gt;=E53,[1]テーパー化間隙圧有りSheet1!$E36,[1]テーパー化間隙圧有りSheet2!$E36)</f>
        <v>1.386327091303251</v>
      </c>
      <c r="F64" s="80">
        <f>IF(F49&gt;=F53,[1]テーパー化間隙圧有りSheet1!$E36,[1]テーパー化間隙圧有りSheet2!$E36)</f>
        <v>1.3516604169561053</v>
      </c>
      <c r="G64" s="53" t="s">
        <v>150</v>
      </c>
      <c r="H64" s="53" t="s">
        <v>151</v>
      </c>
    </row>
    <row r="66" spans="3:3" x14ac:dyDescent="0.15">
      <c r="C66" s="1" t="s">
        <v>152</v>
      </c>
    </row>
    <row r="67" spans="3:3" x14ac:dyDescent="0.15">
      <c r="C67" s="1" t="s">
        <v>153</v>
      </c>
    </row>
    <row r="68" spans="3:3" x14ac:dyDescent="0.15">
      <c r="C68" s="1" t="s">
        <v>154</v>
      </c>
    </row>
  </sheetData>
  <phoneticPr fontId="2"/>
  <pageMargins left="0.75" right="0.75" top="1" bottom="1" header="0.51200000000000001" footer="0.51200000000000001"/>
  <pageSetup paperSize="9" scale="6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453C2-9546-4823-81DE-DE527B029915}">
  <sheetPr>
    <tabColor rgb="FFFFFF00"/>
  </sheetPr>
  <dimension ref="A1:J55"/>
  <sheetViews>
    <sheetView topLeftCell="A40" zoomScaleNormal="100" zoomScaleSheetLayoutView="100" workbookViewId="0">
      <selection activeCell="B59" sqref="B59"/>
    </sheetView>
  </sheetViews>
  <sheetFormatPr defaultRowHeight="13.5" x14ac:dyDescent="0.15"/>
  <cols>
    <col min="1" max="1" width="7.5" style="1" customWidth="1"/>
    <col min="2" max="2" width="96" style="1" customWidth="1"/>
    <col min="3" max="3" width="6.625" style="1" customWidth="1"/>
    <col min="4" max="4" width="9.75" style="1" customWidth="1"/>
    <col min="5" max="5" width="9.125" style="1" customWidth="1"/>
    <col min="6" max="7" width="9" style="1"/>
    <col min="8" max="8" width="9.875" style="1" bestFit="1" customWidth="1"/>
    <col min="9" max="256" width="9" style="1"/>
    <col min="257" max="257" width="7.5" style="1" customWidth="1"/>
    <col min="258" max="258" width="96" style="1" customWidth="1"/>
    <col min="259" max="259" width="6.625" style="1" customWidth="1"/>
    <col min="260" max="260" width="9.75" style="1" customWidth="1"/>
    <col min="261" max="261" width="9.125" style="1" customWidth="1"/>
    <col min="262" max="263" width="9" style="1"/>
    <col min="264" max="264" width="9.875" style="1" bestFit="1" customWidth="1"/>
    <col min="265" max="512" width="9" style="1"/>
    <col min="513" max="513" width="7.5" style="1" customWidth="1"/>
    <col min="514" max="514" width="96" style="1" customWidth="1"/>
    <col min="515" max="515" width="6.625" style="1" customWidth="1"/>
    <col min="516" max="516" width="9.75" style="1" customWidth="1"/>
    <col min="517" max="517" width="9.125" style="1" customWidth="1"/>
    <col min="518" max="519" width="9" style="1"/>
    <col min="520" max="520" width="9.875" style="1" bestFit="1" customWidth="1"/>
    <col min="521" max="768" width="9" style="1"/>
    <col min="769" max="769" width="7.5" style="1" customWidth="1"/>
    <col min="770" max="770" width="96" style="1" customWidth="1"/>
    <col min="771" max="771" width="6.625" style="1" customWidth="1"/>
    <col min="772" max="772" width="9.75" style="1" customWidth="1"/>
    <col min="773" max="773" width="9.125" style="1" customWidth="1"/>
    <col min="774" max="775" width="9" style="1"/>
    <col min="776" max="776" width="9.875" style="1" bestFit="1" customWidth="1"/>
    <col min="777" max="1024" width="9" style="1"/>
    <col min="1025" max="1025" width="7.5" style="1" customWidth="1"/>
    <col min="1026" max="1026" width="96" style="1" customWidth="1"/>
    <col min="1027" max="1027" width="6.625" style="1" customWidth="1"/>
    <col min="1028" max="1028" width="9.75" style="1" customWidth="1"/>
    <col min="1029" max="1029" width="9.125" style="1" customWidth="1"/>
    <col min="1030" max="1031" width="9" style="1"/>
    <col min="1032" max="1032" width="9.875" style="1" bestFit="1" customWidth="1"/>
    <col min="1033" max="1280" width="9" style="1"/>
    <col min="1281" max="1281" width="7.5" style="1" customWidth="1"/>
    <col min="1282" max="1282" width="96" style="1" customWidth="1"/>
    <col min="1283" max="1283" width="6.625" style="1" customWidth="1"/>
    <col min="1284" max="1284" width="9.75" style="1" customWidth="1"/>
    <col min="1285" max="1285" width="9.125" style="1" customWidth="1"/>
    <col min="1286" max="1287" width="9" style="1"/>
    <col min="1288" max="1288" width="9.875" style="1" bestFit="1" customWidth="1"/>
    <col min="1289" max="1536" width="9" style="1"/>
    <col min="1537" max="1537" width="7.5" style="1" customWidth="1"/>
    <col min="1538" max="1538" width="96" style="1" customWidth="1"/>
    <col min="1539" max="1539" width="6.625" style="1" customWidth="1"/>
    <col min="1540" max="1540" width="9.75" style="1" customWidth="1"/>
    <col min="1541" max="1541" width="9.125" style="1" customWidth="1"/>
    <col min="1542" max="1543" width="9" style="1"/>
    <col min="1544" max="1544" width="9.875" style="1" bestFit="1" customWidth="1"/>
    <col min="1545" max="1792" width="9" style="1"/>
    <col min="1793" max="1793" width="7.5" style="1" customWidth="1"/>
    <col min="1794" max="1794" width="96" style="1" customWidth="1"/>
    <col min="1795" max="1795" width="6.625" style="1" customWidth="1"/>
    <col min="1796" max="1796" width="9.75" style="1" customWidth="1"/>
    <col min="1797" max="1797" width="9.125" style="1" customWidth="1"/>
    <col min="1798" max="1799" width="9" style="1"/>
    <col min="1800" max="1800" width="9.875" style="1" bestFit="1" customWidth="1"/>
    <col min="1801" max="2048" width="9" style="1"/>
    <col min="2049" max="2049" width="7.5" style="1" customWidth="1"/>
    <col min="2050" max="2050" width="96" style="1" customWidth="1"/>
    <col min="2051" max="2051" width="6.625" style="1" customWidth="1"/>
    <col min="2052" max="2052" width="9.75" style="1" customWidth="1"/>
    <col min="2053" max="2053" width="9.125" style="1" customWidth="1"/>
    <col min="2054" max="2055" width="9" style="1"/>
    <col min="2056" max="2056" width="9.875" style="1" bestFit="1" customWidth="1"/>
    <col min="2057" max="2304" width="9" style="1"/>
    <col min="2305" max="2305" width="7.5" style="1" customWidth="1"/>
    <col min="2306" max="2306" width="96" style="1" customWidth="1"/>
    <col min="2307" max="2307" width="6.625" style="1" customWidth="1"/>
    <col min="2308" max="2308" width="9.75" style="1" customWidth="1"/>
    <col min="2309" max="2309" width="9.125" style="1" customWidth="1"/>
    <col min="2310" max="2311" width="9" style="1"/>
    <col min="2312" max="2312" width="9.875" style="1" bestFit="1" customWidth="1"/>
    <col min="2313" max="2560" width="9" style="1"/>
    <col min="2561" max="2561" width="7.5" style="1" customWidth="1"/>
    <col min="2562" max="2562" width="96" style="1" customWidth="1"/>
    <col min="2563" max="2563" width="6.625" style="1" customWidth="1"/>
    <col min="2564" max="2564" width="9.75" style="1" customWidth="1"/>
    <col min="2565" max="2565" width="9.125" style="1" customWidth="1"/>
    <col min="2566" max="2567" width="9" style="1"/>
    <col min="2568" max="2568" width="9.875" style="1" bestFit="1" customWidth="1"/>
    <col min="2569" max="2816" width="9" style="1"/>
    <col min="2817" max="2817" width="7.5" style="1" customWidth="1"/>
    <col min="2818" max="2818" width="96" style="1" customWidth="1"/>
    <col min="2819" max="2819" width="6.625" style="1" customWidth="1"/>
    <col min="2820" max="2820" width="9.75" style="1" customWidth="1"/>
    <col min="2821" max="2821" width="9.125" style="1" customWidth="1"/>
    <col min="2822" max="2823" width="9" style="1"/>
    <col min="2824" max="2824" width="9.875" style="1" bestFit="1" customWidth="1"/>
    <col min="2825" max="3072" width="9" style="1"/>
    <col min="3073" max="3073" width="7.5" style="1" customWidth="1"/>
    <col min="3074" max="3074" width="96" style="1" customWidth="1"/>
    <col min="3075" max="3075" width="6.625" style="1" customWidth="1"/>
    <col min="3076" max="3076" width="9.75" style="1" customWidth="1"/>
    <col min="3077" max="3077" width="9.125" style="1" customWidth="1"/>
    <col min="3078" max="3079" width="9" style="1"/>
    <col min="3080" max="3080" width="9.875" style="1" bestFit="1" customWidth="1"/>
    <col min="3081" max="3328" width="9" style="1"/>
    <col min="3329" max="3329" width="7.5" style="1" customWidth="1"/>
    <col min="3330" max="3330" width="96" style="1" customWidth="1"/>
    <col min="3331" max="3331" width="6.625" style="1" customWidth="1"/>
    <col min="3332" max="3332" width="9.75" style="1" customWidth="1"/>
    <col min="3333" max="3333" width="9.125" style="1" customWidth="1"/>
    <col min="3334" max="3335" width="9" style="1"/>
    <col min="3336" max="3336" width="9.875" style="1" bestFit="1" customWidth="1"/>
    <col min="3337" max="3584" width="9" style="1"/>
    <col min="3585" max="3585" width="7.5" style="1" customWidth="1"/>
    <col min="3586" max="3586" width="96" style="1" customWidth="1"/>
    <col min="3587" max="3587" width="6.625" style="1" customWidth="1"/>
    <col min="3588" max="3588" width="9.75" style="1" customWidth="1"/>
    <col min="3589" max="3589" width="9.125" style="1" customWidth="1"/>
    <col min="3590" max="3591" width="9" style="1"/>
    <col min="3592" max="3592" width="9.875" style="1" bestFit="1" customWidth="1"/>
    <col min="3593" max="3840" width="9" style="1"/>
    <col min="3841" max="3841" width="7.5" style="1" customWidth="1"/>
    <col min="3842" max="3842" width="96" style="1" customWidth="1"/>
    <col min="3843" max="3843" width="6.625" style="1" customWidth="1"/>
    <col min="3844" max="3844" width="9.75" style="1" customWidth="1"/>
    <col min="3845" max="3845" width="9.125" style="1" customWidth="1"/>
    <col min="3846" max="3847" width="9" style="1"/>
    <col min="3848" max="3848" width="9.875" style="1" bestFit="1" customWidth="1"/>
    <col min="3849" max="4096" width="9" style="1"/>
    <col min="4097" max="4097" width="7.5" style="1" customWidth="1"/>
    <col min="4098" max="4098" width="96" style="1" customWidth="1"/>
    <col min="4099" max="4099" width="6.625" style="1" customWidth="1"/>
    <col min="4100" max="4100" width="9.75" style="1" customWidth="1"/>
    <col min="4101" max="4101" width="9.125" style="1" customWidth="1"/>
    <col min="4102" max="4103" width="9" style="1"/>
    <col min="4104" max="4104" width="9.875" style="1" bestFit="1" customWidth="1"/>
    <col min="4105" max="4352" width="9" style="1"/>
    <col min="4353" max="4353" width="7.5" style="1" customWidth="1"/>
    <col min="4354" max="4354" width="96" style="1" customWidth="1"/>
    <col min="4355" max="4355" width="6.625" style="1" customWidth="1"/>
    <col min="4356" max="4356" width="9.75" style="1" customWidth="1"/>
    <col min="4357" max="4357" width="9.125" style="1" customWidth="1"/>
    <col min="4358" max="4359" width="9" style="1"/>
    <col min="4360" max="4360" width="9.875" style="1" bestFit="1" customWidth="1"/>
    <col min="4361" max="4608" width="9" style="1"/>
    <col min="4609" max="4609" width="7.5" style="1" customWidth="1"/>
    <col min="4610" max="4610" width="96" style="1" customWidth="1"/>
    <col min="4611" max="4611" width="6.625" style="1" customWidth="1"/>
    <col min="4612" max="4612" width="9.75" style="1" customWidth="1"/>
    <col min="4613" max="4613" width="9.125" style="1" customWidth="1"/>
    <col min="4614" max="4615" width="9" style="1"/>
    <col min="4616" max="4616" width="9.875" style="1" bestFit="1" customWidth="1"/>
    <col min="4617" max="4864" width="9" style="1"/>
    <col min="4865" max="4865" width="7.5" style="1" customWidth="1"/>
    <col min="4866" max="4866" width="96" style="1" customWidth="1"/>
    <col min="4867" max="4867" width="6.625" style="1" customWidth="1"/>
    <col min="4868" max="4868" width="9.75" style="1" customWidth="1"/>
    <col min="4869" max="4869" width="9.125" style="1" customWidth="1"/>
    <col min="4870" max="4871" width="9" style="1"/>
    <col min="4872" max="4872" width="9.875" style="1" bestFit="1" customWidth="1"/>
    <col min="4873" max="5120" width="9" style="1"/>
    <col min="5121" max="5121" width="7.5" style="1" customWidth="1"/>
    <col min="5122" max="5122" width="96" style="1" customWidth="1"/>
    <col min="5123" max="5123" width="6.625" style="1" customWidth="1"/>
    <col min="5124" max="5124" width="9.75" style="1" customWidth="1"/>
    <col min="5125" max="5125" width="9.125" style="1" customWidth="1"/>
    <col min="5126" max="5127" width="9" style="1"/>
    <col min="5128" max="5128" width="9.875" style="1" bestFit="1" customWidth="1"/>
    <col min="5129" max="5376" width="9" style="1"/>
    <col min="5377" max="5377" width="7.5" style="1" customWidth="1"/>
    <col min="5378" max="5378" width="96" style="1" customWidth="1"/>
    <col min="5379" max="5379" width="6.625" style="1" customWidth="1"/>
    <col min="5380" max="5380" width="9.75" style="1" customWidth="1"/>
    <col min="5381" max="5381" width="9.125" style="1" customWidth="1"/>
    <col min="5382" max="5383" width="9" style="1"/>
    <col min="5384" max="5384" width="9.875" style="1" bestFit="1" customWidth="1"/>
    <col min="5385" max="5632" width="9" style="1"/>
    <col min="5633" max="5633" width="7.5" style="1" customWidth="1"/>
    <col min="5634" max="5634" width="96" style="1" customWidth="1"/>
    <col min="5635" max="5635" width="6.625" style="1" customWidth="1"/>
    <col min="5636" max="5636" width="9.75" style="1" customWidth="1"/>
    <col min="5637" max="5637" width="9.125" style="1" customWidth="1"/>
    <col min="5638" max="5639" width="9" style="1"/>
    <col min="5640" max="5640" width="9.875" style="1" bestFit="1" customWidth="1"/>
    <col min="5641" max="5888" width="9" style="1"/>
    <col min="5889" max="5889" width="7.5" style="1" customWidth="1"/>
    <col min="5890" max="5890" width="96" style="1" customWidth="1"/>
    <col min="5891" max="5891" width="6.625" style="1" customWidth="1"/>
    <col min="5892" max="5892" width="9.75" style="1" customWidth="1"/>
    <col min="5893" max="5893" width="9.125" style="1" customWidth="1"/>
    <col min="5894" max="5895" width="9" style="1"/>
    <col min="5896" max="5896" width="9.875" style="1" bestFit="1" customWidth="1"/>
    <col min="5897" max="6144" width="9" style="1"/>
    <col min="6145" max="6145" width="7.5" style="1" customWidth="1"/>
    <col min="6146" max="6146" width="96" style="1" customWidth="1"/>
    <col min="6147" max="6147" width="6.625" style="1" customWidth="1"/>
    <col min="6148" max="6148" width="9.75" style="1" customWidth="1"/>
    <col min="6149" max="6149" width="9.125" style="1" customWidth="1"/>
    <col min="6150" max="6151" width="9" style="1"/>
    <col min="6152" max="6152" width="9.875" style="1" bestFit="1" customWidth="1"/>
    <col min="6153" max="6400" width="9" style="1"/>
    <col min="6401" max="6401" width="7.5" style="1" customWidth="1"/>
    <col min="6402" max="6402" width="96" style="1" customWidth="1"/>
    <col min="6403" max="6403" width="6.625" style="1" customWidth="1"/>
    <col min="6404" max="6404" width="9.75" style="1" customWidth="1"/>
    <col min="6405" max="6405" width="9.125" style="1" customWidth="1"/>
    <col min="6406" max="6407" width="9" style="1"/>
    <col min="6408" max="6408" width="9.875" style="1" bestFit="1" customWidth="1"/>
    <col min="6409" max="6656" width="9" style="1"/>
    <col min="6657" max="6657" width="7.5" style="1" customWidth="1"/>
    <col min="6658" max="6658" width="96" style="1" customWidth="1"/>
    <col min="6659" max="6659" width="6.625" style="1" customWidth="1"/>
    <col min="6660" max="6660" width="9.75" style="1" customWidth="1"/>
    <col min="6661" max="6661" width="9.125" style="1" customWidth="1"/>
    <col min="6662" max="6663" width="9" style="1"/>
    <col min="6664" max="6664" width="9.875" style="1" bestFit="1" customWidth="1"/>
    <col min="6665" max="6912" width="9" style="1"/>
    <col min="6913" max="6913" width="7.5" style="1" customWidth="1"/>
    <col min="6914" max="6914" width="96" style="1" customWidth="1"/>
    <col min="6915" max="6915" width="6.625" style="1" customWidth="1"/>
    <col min="6916" max="6916" width="9.75" style="1" customWidth="1"/>
    <col min="6917" max="6917" width="9.125" style="1" customWidth="1"/>
    <col min="6918" max="6919" width="9" style="1"/>
    <col min="6920" max="6920" width="9.875" style="1" bestFit="1" customWidth="1"/>
    <col min="6921" max="7168" width="9" style="1"/>
    <col min="7169" max="7169" width="7.5" style="1" customWidth="1"/>
    <col min="7170" max="7170" width="96" style="1" customWidth="1"/>
    <col min="7171" max="7171" width="6.625" style="1" customWidth="1"/>
    <col min="7172" max="7172" width="9.75" style="1" customWidth="1"/>
    <col min="7173" max="7173" width="9.125" style="1" customWidth="1"/>
    <col min="7174" max="7175" width="9" style="1"/>
    <col min="7176" max="7176" width="9.875" style="1" bestFit="1" customWidth="1"/>
    <col min="7177" max="7424" width="9" style="1"/>
    <col min="7425" max="7425" width="7.5" style="1" customWidth="1"/>
    <col min="7426" max="7426" width="96" style="1" customWidth="1"/>
    <col min="7427" max="7427" width="6.625" style="1" customWidth="1"/>
    <col min="7428" max="7428" width="9.75" style="1" customWidth="1"/>
    <col min="7429" max="7429" width="9.125" style="1" customWidth="1"/>
    <col min="7430" max="7431" width="9" style="1"/>
    <col min="7432" max="7432" width="9.875" style="1" bestFit="1" customWidth="1"/>
    <col min="7433" max="7680" width="9" style="1"/>
    <col min="7681" max="7681" width="7.5" style="1" customWidth="1"/>
    <col min="7682" max="7682" width="96" style="1" customWidth="1"/>
    <col min="7683" max="7683" width="6.625" style="1" customWidth="1"/>
    <col min="7684" max="7684" width="9.75" style="1" customWidth="1"/>
    <col min="7685" max="7685" width="9.125" style="1" customWidth="1"/>
    <col min="7686" max="7687" width="9" style="1"/>
    <col min="7688" max="7688" width="9.875" style="1" bestFit="1" customWidth="1"/>
    <col min="7689" max="7936" width="9" style="1"/>
    <col min="7937" max="7937" width="7.5" style="1" customWidth="1"/>
    <col min="7938" max="7938" width="96" style="1" customWidth="1"/>
    <col min="7939" max="7939" width="6.625" style="1" customWidth="1"/>
    <col min="7940" max="7940" width="9.75" style="1" customWidth="1"/>
    <col min="7941" max="7941" width="9.125" style="1" customWidth="1"/>
    <col min="7942" max="7943" width="9" style="1"/>
    <col min="7944" max="7944" width="9.875" style="1" bestFit="1" customWidth="1"/>
    <col min="7945" max="8192" width="9" style="1"/>
    <col min="8193" max="8193" width="7.5" style="1" customWidth="1"/>
    <col min="8194" max="8194" width="96" style="1" customWidth="1"/>
    <col min="8195" max="8195" width="6.625" style="1" customWidth="1"/>
    <col min="8196" max="8196" width="9.75" style="1" customWidth="1"/>
    <col min="8197" max="8197" width="9.125" style="1" customWidth="1"/>
    <col min="8198" max="8199" width="9" style="1"/>
    <col min="8200" max="8200" width="9.875" style="1" bestFit="1" customWidth="1"/>
    <col min="8201" max="8448" width="9" style="1"/>
    <col min="8449" max="8449" width="7.5" style="1" customWidth="1"/>
    <col min="8450" max="8450" width="96" style="1" customWidth="1"/>
    <col min="8451" max="8451" width="6.625" style="1" customWidth="1"/>
    <col min="8452" max="8452" width="9.75" style="1" customWidth="1"/>
    <col min="8453" max="8453" width="9.125" style="1" customWidth="1"/>
    <col min="8454" max="8455" width="9" style="1"/>
    <col min="8456" max="8456" width="9.875" style="1" bestFit="1" customWidth="1"/>
    <col min="8457" max="8704" width="9" style="1"/>
    <col min="8705" max="8705" width="7.5" style="1" customWidth="1"/>
    <col min="8706" max="8706" width="96" style="1" customWidth="1"/>
    <col min="8707" max="8707" width="6.625" style="1" customWidth="1"/>
    <col min="8708" max="8708" width="9.75" style="1" customWidth="1"/>
    <col min="8709" max="8709" width="9.125" style="1" customWidth="1"/>
    <col min="8710" max="8711" width="9" style="1"/>
    <col min="8712" max="8712" width="9.875" style="1" bestFit="1" customWidth="1"/>
    <col min="8713" max="8960" width="9" style="1"/>
    <col min="8961" max="8961" width="7.5" style="1" customWidth="1"/>
    <col min="8962" max="8962" width="96" style="1" customWidth="1"/>
    <col min="8963" max="8963" width="6.625" style="1" customWidth="1"/>
    <col min="8964" max="8964" width="9.75" style="1" customWidth="1"/>
    <col min="8965" max="8965" width="9.125" style="1" customWidth="1"/>
    <col min="8966" max="8967" width="9" style="1"/>
    <col min="8968" max="8968" width="9.875" style="1" bestFit="1" customWidth="1"/>
    <col min="8969" max="9216" width="9" style="1"/>
    <col min="9217" max="9217" width="7.5" style="1" customWidth="1"/>
    <col min="9218" max="9218" width="96" style="1" customWidth="1"/>
    <col min="9219" max="9219" width="6.625" style="1" customWidth="1"/>
    <col min="9220" max="9220" width="9.75" style="1" customWidth="1"/>
    <col min="9221" max="9221" width="9.125" style="1" customWidth="1"/>
    <col min="9222" max="9223" width="9" style="1"/>
    <col min="9224" max="9224" width="9.875" style="1" bestFit="1" customWidth="1"/>
    <col min="9225" max="9472" width="9" style="1"/>
    <col min="9473" max="9473" width="7.5" style="1" customWidth="1"/>
    <col min="9474" max="9474" width="96" style="1" customWidth="1"/>
    <col min="9475" max="9475" width="6.625" style="1" customWidth="1"/>
    <col min="9476" max="9476" width="9.75" style="1" customWidth="1"/>
    <col min="9477" max="9477" width="9.125" style="1" customWidth="1"/>
    <col min="9478" max="9479" width="9" style="1"/>
    <col min="9480" max="9480" width="9.875" style="1" bestFit="1" customWidth="1"/>
    <col min="9481" max="9728" width="9" style="1"/>
    <col min="9729" max="9729" width="7.5" style="1" customWidth="1"/>
    <col min="9730" max="9730" width="96" style="1" customWidth="1"/>
    <col min="9731" max="9731" width="6.625" style="1" customWidth="1"/>
    <col min="9732" max="9732" width="9.75" style="1" customWidth="1"/>
    <col min="9733" max="9733" width="9.125" style="1" customWidth="1"/>
    <col min="9734" max="9735" width="9" style="1"/>
    <col min="9736" max="9736" width="9.875" style="1" bestFit="1" customWidth="1"/>
    <col min="9737" max="9984" width="9" style="1"/>
    <col min="9985" max="9985" width="7.5" style="1" customWidth="1"/>
    <col min="9986" max="9986" width="96" style="1" customWidth="1"/>
    <col min="9987" max="9987" width="6.625" style="1" customWidth="1"/>
    <col min="9988" max="9988" width="9.75" style="1" customWidth="1"/>
    <col min="9989" max="9989" width="9.125" style="1" customWidth="1"/>
    <col min="9990" max="9991" width="9" style="1"/>
    <col min="9992" max="9992" width="9.875" style="1" bestFit="1" customWidth="1"/>
    <col min="9993" max="10240" width="9" style="1"/>
    <col min="10241" max="10241" width="7.5" style="1" customWidth="1"/>
    <col min="10242" max="10242" width="96" style="1" customWidth="1"/>
    <col min="10243" max="10243" width="6.625" style="1" customWidth="1"/>
    <col min="10244" max="10244" width="9.75" style="1" customWidth="1"/>
    <col min="10245" max="10245" width="9.125" style="1" customWidth="1"/>
    <col min="10246" max="10247" width="9" style="1"/>
    <col min="10248" max="10248" width="9.875" style="1" bestFit="1" customWidth="1"/>
    <col min="10249" max="10496" width="9" style="1"/>
    <col min="10497" max="10497" width="7.5" style="1" customWidth="1"/>
    <col min="10498" max="10498" width="96" style="1" customWidth="1"/>
    <col min="10499" max="10499" width="6.625" style="1" customWidth="1"/>
    <col min="10500" max="10500" width="9.75" style="1" customWidth="1"/>
    <col min="10501" max="10501" width="9.125" style="1" customWidth="1"/>
    <col min="10502" max="10503" width="9" style="1"/>
    <col min="10504" max="10504" width="9.875" style="1" bestFit="1" customWidth="1"/>
    <col min="10505" max="10752" width="9" style="1"/>
    <col min="10753" max="10753" width="7.5" style="1" customWidth="1"/>
    <col min="10754" max="10754" width="96" style="1" customWidth="1"/>
    <col min="10755" max="10755" width="6.625" style="1" customWidth="1"/>
    <col min="10756" max="10756" width="9.75" style="1" customWidth="1"/>
    <col min="10757" max="10757" width="9.125" style="1" customWidth="1"/>
    <col min="10758" max="10759" width="9" style="1"/>
    <col min="10760" max="10760" width="9.875" style="1" bestFit="1" customWidth="1"/>
    <col min="10761" max="11008" width="9" style="1"/>
    <col min="11009" max="11009" width="7.5" style="1" customWidth="1"/>
    <col min="11010" max="11010" width="96" style="1" customWidth="1"/>
    <col min="11011" max="11011" width="6.625" style="1" customWidth="1"/>
    <col min="11012" max="11012" width="9.75" style="1" customWidth="1"/>
    <col min="11013" max="11013" width="9.125" style="1" customWidth="1"/>
    <col min="11014" max="11015" width="9" style="1"/>
    <col min="11016" max="11016" width="9.875" style="1" bestFit="1" customWidth="1"/>
    <col min="11017" max="11264" width="9" style="1"/>
    <col min="11265" max="11265" width="7.5" style="1" customWidth="1"/>
    <col min="11266" max="11266" width="96" style="1" customWidth="1"/>
    <col min="11267" max="11267" width="6.625" style="1" customWidth="1"/>
    <col min="11268" max="11268" width="9.75" style="1" customWidth="1"/>
    <col min="11269" max="11269" width="9.125" style="1" customWidth="1"/>
    <col min="11270" max="11271" width="9" style="1"/>
    <col min="11272" max="11272" width="9.875" style="1" bestFit="1" customWidth="1"/>
    <col min="11273" max="11520" width="9" style="1"/>
    <col min="11521" max="11521" width="7.5" style="1" customWidth="1"/>
    <col min="11522" max="11522" width="96" style="1" customWidth="1"/>
    <col min="11523" max="11523" width="6.625" style="1" customWidth="1"/>
    <col min="11524" max="11524" width="9.75" style="1" customWidth="1"/>
    <col min="11525" max="11525" width="9.125" style="1" customWidth="1"/>
    <col min="11526" max="11527" width="9" style="1"/>
    <col min="11528" max="11528" width="9.875" style="1" bestFit="1" customWidth="1"/>
    <col min="11529" max="11776" width="9" style="1"/>
    <col min="11777" max="11777" width="7.5" style="1" customWidth="1"/>
    <col min="11778" max="11778" width="96" style="1" customWidth="1"/>
    <col min="11779" max="11779" width="6.625" style="1" customWidth="1"/>
    <col min="11780" max="11780" width="9.75" style="1" customWidth="1"/>
    <col min="11781" max="11781" width="9.125" style="1" customWidth="1"/>
    <col min="11782" max="11783" width="9" style="1"/>
    <col min="11784" max="11784" width="9.875" style="1" bestFit="1" customWidth="1"/>
    <col min="11785" max="12032" width="9" style="1"/>
    <col min="12033" max="12033" width="7.5" style="1" customWidth="1"/>
    <col min="12034" max="12034" width="96" style="1" customWidth="1"/>
    <col min="12035" max="12035" width="6.625" style="1" customWidth="1"/>
    <col min="12036" max="12036" width="9.75" style="1" customWidth="1"/>
    <col min="12037" max="12037" width="9.125" style="1" customWidth="1"/>
    <col min="12038" max="12039" width="9" style="1"/>
    <col min="12040" max="12040" width="9.875" style="1" bestFit="1" customWidth="1"/>
    <col min="12041" max="12288" width="9" style="1"/>
    <col min="12289" max="12289" width="7.5" style="1" customWidth="1"/>
    <col min="12290" max="12290" width="96" style="1" customWidth="1"/>
    <col min="12291" max="12291" width="6.625" style="1" customWidth="1"/>
    <col min="12292" max="12292" width="9.75" style="1" customWidth="1"/>
    <col min="12293" max="12293" width="9.125" style="1" customWidth="1"/>
    <col min="12294" max="12295" width="9" style="1"/>
    <col min="12296" max="12296" width="9.875" style="1" bestFit="1" customWidth="1"/>
    <col min="12297" max="12544" width="9" style="1"/>
    <col min="12545" max="12545" width="7.5" style="1" customWidth="1"/>
    <col min="12546" max="12546" width="96" style="1" customWidth="1"/>
    <col min="12547" max="12547" width="6.625" style="1" customWidth="1"/>
    <col min="12548" max="12548" width="9.75" style="1" customWidth="1"/>
    <col min="12549" max="12549" width="9.125" style="1" customWidth="1"/>
    <col min="12550" max="12551" width="9" style="1"/>
    <col min="12552" max="12552" width="9.875" style="1" bestFit="1" customWidth="1"/>
    <col min="12553" max="12800" width="9" style="1"/>
    <col min="12801" max="12801" width="7.5" style="1" customWidth="1"/>
    <col min="12802" max="12802" width="96" style="1" customWidth="1"/>
    <col min="12803" max="12803" width="6.625" style="1" customWidth="1"/>
    <col min="12804" max="12804" width="9.75" style="1" customWidth="1"/>
    <col min="12805" max="12805" width="9.125" style="1" customWidth="1"/>
    <col min="12806" max="12807" width="9" style="1"/>
    <col min="12808" max="12808" width="9.875" style="1" bestFit="1" customWidth="1"/>
    <col min="12809" max="13056" width="9" style="1"/>
    <col min="13057" max="13057" width="7.5" style="1" customWidth="1"/>
    <col min="13058" max="13058" width="96" style="1" customWidth="1"/>
    <col min="13059" max="13059" width="6.625" style="1" customWidth="1"/>
    <col min="13060" max="13060" width="9.75" style="1" customWidth="1"/>
    <col min="13061" max="13061" width="9.125" style="1" customWidth="1"/>
    <col min="13062" max="13063" width="9" style="1"/>
    <col min="13064" max="13064" width="9.875" style="1" bestFit="1" customWidth="1"/>
    <col min="13065" max="13312" width="9" style="1"/>
    <col min="13313" max="13313" width="7.5" style="1" customWidth="1"/>
    <col min="13314" max="13314" width="96" style="1" customWidth="1"/>
    <col min="13315" max="13315" width="6.625" style="1" customWidth="1"/>
    <col min="13316" max="13316" width="9.75" style="1" customWidth="1"/>
    <col min="13317" max="13317" width="9.125" style="1" customWidth="1"/>
    <col min="13318" max="13319" width="9" style="1"/>
    <col min="13320" max="13320" width="9.875" style="1" bestFit="1" customWidth="1"/>
    <col min="13321" max="13568" width="9" style="1"/>
    <col min="13569" max="13569" width="7.5" style="1" customWidth="1"/>
    <col min="13570" max="13570" width="96" style="1" customWidth="1"/>
    <col min="13571" max="13571" width="6.625" style="1" customWidth="1"/>
    <col min="13572" max="13572" width="9.75" style="1" customWidth="1"/>
    <col min="13573" max="13573" width="9.125" style="1" customWidth="1"/>
    <col min="13574" max="13575" width="9" style="1"/>
    <col min="13576" max="13576" width="9.875" style="1" bestFit="1" customWidth="1"/>
    <col min="13577" max="13824" width="9" style="1"/>
    <col min="13825" max="13825" width="7.5" style="1" customWidth="1"/>
    <col min="13826" max="13826" width="96" style="1" customWidth="1"/>
    <col min="13827" max="13827" width="6.625" style="1" customWidth="1"/>
    <col min="13828" max="13828" width="9.75" style="1" customWidth="1"/>
    <col min="13829" max="13829" width="9.125" style="1" customWidth="1"/>
    <col min="13830" max="13831" width="9" style="1"/>
    <col min="13832" max="13832" width="9.875" style="1" bestFit="1" customWidth="1"/>
    <col min="13833" max="14080" width="9" style="1"/>
    <col min="14081" max="14081" width="7.5" style="1" customWidth="1"/>
    <col min="14082" max="14082" width="96" style="1" customWidth="1"/>
    <col min="14083" max="14083" width="6.625" style="1" customWidth="1"/>
    <col min="14084" max="14084" width="9.75" style="1" customWidth="1"/>
    <col min="14085" max="14085" width="9.125" style="1" customWidth="1"/>
    <col min="14086" max="14087" width="9" style="1"/>
    <col min="14088" max="14088" width="9.875" style="1" bestFit="1" customWidth="1"/>
    <col min="14089" max="14336" width="9" style="1"/>
    <col min="14337" max="14337" width="7.5" style="1" customWidth="1"/>
    <col min="14338" max="14338" width="96" style="1" customWidth="1"/>
    <col min="14339" max="14339" width="6.625" style="1" customWidth="1"/>
    <col min="14340" max="14340" width="9.75" style="1" customWidth="1"/>
    <col min="14341" max="14341" width="9.125" style="1" customWidth="1"/>
    <col min="14342" max="14343" width="9" style="1"/>
    <col min="14344" max="14344" width="9.875" style="1" bestFit="1" customWidth="1"/>
    <col min="14345" max="14592" width="9" style="1"/>
    <col min="14593" max="14593" width="7.5" style="1" customWidth="1"/>
    <col min="14594" max="14594" width="96" style="1" customWidth="1"/>
    <col min="14595" max="14595" width="6.625" style="1" customWidth="1"/>
    <col min="14596" max="14596" width="9.75" style="1" customWidth="1"/>
    <col min="14597" max="14597" width="9.125" style="1" customWidth="1"/>
    <col min="14598" max="14599" width="9" style="1"/>
    <col min="14600" max="14600" width="9.875" style="1" bestFit="1" customWidth="1"/>
    <col min="14601" max="14848" width="9" style="1"/>
    <col min="14849" max="14849" width="7.5" style="1" customWidth="1"/>
    <col min="14850" max="14850" width="96" style="1" customWidth="1"/>
    <col min="14851" max="14851" width="6.625" style="1" customWidth="1"/>
    <col min="14852" max="14852" width="9.75" style="1" customWidth="1"/>
    <col min="14853" max="14853" width="9.125" style="1" customWidth="1"/>
    <col min="14854" max="14855" width="9" style="1"/>
    <col min="14856" max="14856" width="9.875" style="1" bestFit="1" customWidth="1"/>
    <col min="14857" max="15104" width="9" style="1"/>
    <col min="15105" max="15105" width="7.5" style="1" customWidth="1"/>
    <col min="15106" max="15106" width="96" style="1" customWidth="1"/>
    <col min="15107" max="15107" width="6.625" style="1" customWidth="1"/>
    <col min="15108" max="15108" width="9.75" style="1" customWidth="1"/>
    <col min="15109" max="15109" width="9.125" style="1" customWidth="1"/>
    <col min="15110" max="15111" width="9" style="1"/>
    <col min="15112" max="15112" width="9.875" style="1" bestFit="1" customWidth="1"/>
    <col min="15113" max="15360" width="9" style="1"/>
    <col min="15361" max="15361" width="7.5" style="1" customWidth="1"/>
    <col min="15362" max="15362" width="96" style="1" customWidth="1"/>
    <col min="15363" max="15363" width="6.625" style="1" customWidth="1"/>
    <col min="15364" max="15364" width="9.75" style="1" customWidth="1"/>
    <col min="15365" max="15365" width="9.125" style="1" customWidth="1"/>
    <col min="15366" max="15367" width="9" style="1"/>
    <col min="15368" max="15368" width="9.875" style="1" bestFit="1" customWidth="1"/>
    <col min="15369" max="15616" width="9" style="1"/>
    <col min="15617" max="15617" width="7.5" style="1" customWidth="1"/>
    <col min="15618" max="15618" width="96" style="1" customWidth="1"/>
    <col min="15619" max="15619" width="6.625" style="1" customWidth="1"/>
    <col min="15620" max="15620" width="9.75" style="1" customWidth="1"/>
    <col min="15621" max="15621" width="9.125" style="1" customWidth="1"/>
    <col min="15622" max="15623" width="9" style="1"/>
    <col min="15624" max="15624" width="9.875" style="1" bestFit="1" customWidth="1"/>
    <col min="15625" max="15872" width="9" style="1"/>
    <col min="15873" max="15873" width="7.5" style="1" customWidth="1"/>
    <col min="15874" max="15874" width="96" style="1" customWidth="1"/>
    <col min="15875" max="15875" width="6.625" style="1" customWidth="1"/>
    <col min="15876" max="15876" width="9.75" style="1" customWidth="1"/>
    <col min="15877" max="15877" width="9.125" style="1" customWidth="1"/>
    <col min="15878" max="15879" width="9" style="1"/>
    <col min="15880" max="15880" width="9.875" style="1" bestFit="1" customWidth="1"/>
    <col min="15881" max="16128" width="9" style="1"/>
    <col min="16129" max="16129" width="7.5" style="1" customWidth="1"/>
    <col min="16130" max="16130" width="96" style="1" customWidth="1"/>
    <col min="16131" max="16131" width="6.625" style="1" customWidth="1"/>
    <col min="16132" max="16132" width="9.75" style="1" customWidth="1"/>
    <col min="16133" max="16133" width="9.125" style="1" customWidth="1"/>
    <col min="16134" max="16135" width="9" style="1"/>
    <col min="16136" max="16136" width="9.875" style="1" bestFit="1" customWidth="1"/>
    <col min="16137" max="16384" width="9" style="1"/>
  </cols>
  <sheetData>
    <row r="1" spans="1:10" ht="24" customHeight="1" x14ac:dyDescent="0.15">
      <c r="A1" s="81" t="s">
        <v>155</v>
      </c>
      <c r="D1" s="126">
        <v>38773</v>
      </c>
      <c r="E1" s="126"/>
    </row>
    <row r="2" spans="1:10" ht="21.75" customHeight="1" x14ac:dyDescent="0.15">
      <c r="A2" s="53" t="s">
        <v>156</v>
      </c>
      <c r="B2" s="53" t="s">
        <v>157</v>
      </c>
      <c r="C2" s="1" t="s">
        <v>158</v>
      </c>
      <c r="E2" s="82"/>
    </row>
    <row r="3" spans="1:10" ht="18" customHeight="1" x14ac:dyDescent="0.15">
      <c r="A3" s="48"/>
      <c r="B3" s="66" t="s">
        <v>127</v>
      </c>
      <c r="D3" s="67"/>
      <c r="E3" s="67" t="str">
        <f>"仕上り"&amp;E38&amp;"割"</f>
        <v>仕上り2割</v>
      </c>
      <c r="J3" s="83"/>
    </row>
    <row r="4" spans="1:10" ht="18" customHeight="1" x14ac:dyDescent="0.15">
      <c r="A4" s="21" t="s">
        <v>4</v>
      </c>
      <c r="B4" s="21" t="s">
        <v>5</v>
      </c>
      <c r="C4" s="21" t="s">
        <v>7</v>
      </c>
      <c r="D4" s="84"/>
      <c r="E4" s="68" t="str">
        <f>"下地"&amp;E37&amp;"割"</f>
        <v>下地2割</v>
      </c>
    </row>
    <row r="5" spans="1:10" ht="18" customHeight="1" x14ac:dyDescent="0.15">
      <c r="A5" s="21" t="s">
        <v>159</v>
      </c>
      <c r="B5" s="14" t="s">
        <v>160</v>
      </c>
      <c r="C5" s="69" t="s">
        <v>161</v>
      </c>
      <c r="D5" s="72"/>
      <c r="E5" s="72">
        <f>(E20+E23)*(E11-E12)*(1/2)*E9+(E23+E21)*E12*(1/2)*E8-E21*(1/2)*E8*E27-E18*E18/TAN(E28*PI()/180)*(1/2)*E9</f>
        <v>135.13117302474819</v>
      </c>
    </row>
    <row r="6" spans="1:10" ht="18" customHeight="1" x14ac:dyDescent="0.15">
      <c r="A6" s="21" t="s">
        <v>162</v>
      </c>
      <c r="B6" s="14" t="s">
        <v>163</v>
      </c>
      <c r="C6" s="69" t="s">
        <v>161</v>
      </c>
      <c r="D6" s="72"/>
      <c r="E6" s="72">
        <f>(E8*E27/2)*E21</f>
        <v>27.224999999999998</v>
      </c>
      <c r="H6" s="85"/>
    </row>
    <row r="7" spans="1:10" ht="18" customHeight="1" x14ac:dyDescent="0.15">
      <c r="A7" s="21" t="s">
        <v>164</v>
      </c>
      <c r="B7" s="14" t="s">
        <v>165</v>
      </c>
      <c r="C7" s="69" t="s">
        <v>161</v>
      </c>
      <c r="D7" s="72"/>
      <c r="E7" s="72">
        <f>E5*COS(E28*PI()/180)+E13*SIN(E28*PI()/180)-E14</f>
        <v>120.86499550504912</v>
      </c>
      <c r="H7" s="85"/>
    </row>
    <row r="8" spans="1:10" ht="18" customHeight="1" x14ac:dyDescent="0.15">
      <c r="A8" s="21" t="s">
        <v>166</v>
      </c>
      <c r="B8" s="14" t="s">
        <v>167</v>
      </c>
      <c r="C8" s="69" t="s">
        <v>168</v>
      </c>
      <c r="D8" s="72"/>
      <c r="E8" s="70">
        <v>18</v>
      </c>
      <c r="H8" s="85"/>
    </row>
    <row r="9" spans="1:10" ht="18" customHeight="1" x14ac:dyDescent="0.15">
      <c r="A9" s="86" t="s">
        <v>169</v>
      </c>
      <c r="B9" s="14" t="s">
        <v>170</v>
      </c>
      <c r="C9" s="69" t="s">
        <v>168</v>
      </c>
      <c r="D9" s="72"/>
      <c r="E9" s="70">
        <v>18</v>
      </c>
      <c r="H9" s="85"/>
    </row>
    <row r="10" spans="1:10" ht="18" customHeight="1" x14ac:dyDescent="0.15">
      <c r="A10" s="86" t="s">
        <v>171</v>
      </c>
      <c r="B10" s="14" t="s">
        <v>172</v>
      </c>
      <c r="C10" s="69" t="s">
        <v>168</v>
      </c>
      <c r="D10" s="72"/>
      <c r="E10" s="70">
        <v>0</v>
      </c>
      <c r="H10" s="85"/>
    </row>
    <row r="11" spans="1:10" ht="18" customHeight="1" x14ac:dyDescent="0.15">
      <c r="A11" s="21" t="s">
        <v>128</v>
      </c>
      <c r="B11" s="14" t="s">
        <v>129</v>
      </c>
      <c r="C11" s="69" t="s">
        <v>34</v>
      </c>
      <c r="D11" s="72"/>
      <c r="E11" s="70">
        <v>4.1589999999999998</v>
      </c>
      <c r="H11" s="85"/>
    </row>
    <row r="12" spans="1:10" ht="18" customHeight="1" x14ac:dyDescent="0.15">
      <c r="A12" s="21" t="s">
        <v>130</v>
      </c>
      <c r="B12" s="14" t="s">
        <v>131</v>
      </c>
      <c r="C12" s="69" t="s">
        <v>34</v>
      </c>
      <c r="D12" s="72"/>
      <c r="E12" s="70">
        <v>2.08</v>
      </c>
      <c r="H12" s="85"/>
    </row>
    <row r="13" spans="1:10" ht="18" customHeight="1" x14ac:dyDescent="0.15">
      <c r="A13" s="21" t="s">
        <v>173</v>
      </c>
      <c r="B13" s="14" t="s">
        <v>174</v>
      </c>
      <c r="C13" s="87" t="s">
        <v>175</v>
      </c>
      <c r="D13" s="72"/>
      <c r="E13" s="72">
        <f>(E10/2)*E27*E27*COS(E28*PI()/180)*COS(E28*PI()/180)</f>
        <v>0</v>
      </c>
      <c r="H13" s="85"/>
    </row>
    <row r="14" spans="1:10" ht="18" customHeight="1" x14ac:dyDescent="0.15">
      <c r="A14" s="21" t="s">
        <v>176</v>
      </c>
      <c r="B14" s="14" t="s">
        <v>177</v>
      </c>
      <c r="C14" s="87" t="s">
        <v>175</v>
      </c>
      <c r="D14" s="72"/>
      <c r="E14" s="72">
        <f>E10*SIN(E28*PI()/180)*(1/2)*E23*E23+(1/2)*E10*COS(E28*PI()/180)*COS(E28*PI()/180)*(E23*TAN(E28*PI()/180)+E27)*(E12/SIN(E28*PI()/180)-E23/COS(E28*PI()/180))</f>
        <v>0</v>
      </c>
      <c r="H14" s="85"/>
    </row>
    <row r="15" spans="1:10" ht="18" customHeight="1" x14ac:dyDescent="0.15">
      <c r="A15" s="21" t="s">
        <v>178</v>
      </c>
      <c r="B15" s="14" t="s">
        <v>179</v>
      </c>
      <c r="C15" s="87" t="s">
        <v>175</v>
      </c>
      <c r="D15" s="88"/>
      <c r="E15" s="88">
        <f>IF(E12=0,0,E13*E21/E27)</f>
        <v>0</v>
      </c>
    </row>
    <row r="16" spans="1:10" ht="18" customHeight="1" x14ac:dyDescent="0.15">
      <c r="A16" s="21" t="s">
        <v>180</v>
      </c>
      <c r="B16" s="89" t="s">
        <v>181</v>
      </c>
      <c r="C16" s="69" t="s">
        <v>34</v>
      </c>
      <c r="D16" s="88"/>
      <c r="E16" s="90">
        <f>ROUND(E17*SIN(E28*PI()/180)+E18*COS(E28*PI()/180)-E11,3)</f>
        <v>0.98399999999999999</v>
      </c>
    </row>
    <row r="17" spans="1:5" ht="18" customHeight="1" x14ac:dyDescent="0.15">
      <c r="A17" s="21" t="s">
        <v>182</v>
      </c>
      <c r="B17" s="89" t="s">
        <v>183</v>
      </c>
      <c r="C17" s="69" t="s">
        <v>34</v>
      </c>
      <c r="D17" s="72"/>
      <c r="E17" s="91">
        <v>9.3000000000000007</v>
      </c>
    </row>
    <row r="18" spans="1:5" ht="18" customHeight="1" x14ac:dyDescent="0.15">
      <c r="A18" s="21" t="s">
        <v>133</v>
      </c>
      <c r="B18" s="14" t="s">
        <v>134</v>
      </c>
      <c r="C18" s="69" t="s">
        <v>34</v>
      </c>
      <c r="D18" s="72"/>
      <c r="E18" s="70">
        <v>1.1000000000000001</v>
      </c>
    </row>
    <row r="19" spans="1:5" ht="18" customHeight="1" x14ac:dyDescent="0.25">
      <c r="A19" s="21" t="s">
        <v>184</v>
      </c>
      <c r="B19" s="14" t="s">
        <v>185</v>
      </c>
      <c r="C19" s="69" t="s">
        <v>34</v>
      </c>
      <c r="D19" s="72"/>
      <c r="E19" s="72">
        <f>(SIN(E28*PI()/180-E29*PI()/180)*E11)/(SIN(E28*PI()/180)*SIN(E29*PI()/180))</f>
        <v>0</v>
      </c>
    </row>
    <row r="20" spans="1:5" ht="18" customHeight="1" x14ac:dyDescent="0.25">
      <c r="A20" s="21" t="s">
        <v>186</v>
      </c>
      <c r="B20" s="14" t="s">
        <v>187</v>
      </c>
      <c r="C20" s="69" t="s">
        <v>34</v>
      </c>
      <c r="D20" s="72"/>
      <c r="E20" s="72">
        <f>E18/SIN(E28*PI()/180)</f>
        <v>2.4596747752497685</v>
      </c>
    </row>
    <row r="21" spans="1:5" ht="18" customHeight="1" x14ac:dyDescent="0.25">
      <c r="A21" s="21" t="s">
        <v>188</v>
      </c>
      <c r="B21" s="14" t="s">
        <v>189</v>
      </c>
      <c r="C21" s="69" t="s">
        <v>34</v>
      </c>
      <c r="D21" s="72"/>
      <c r="E21" s="72">
        <f>E18/SIN(E28*PI()/180)+((SIN(E28*PI()/180-E29*PI()/180))*E11)/(SIN(E28*PI()/180)*SIN(E29*PI()/180))</f>
        <v>2.4596747752497685</v>
      </c>
    </row>
    <row r="22" spans="1:5" ht="18" customHeight="1" x14ac:dyDescent="0.25">
      <c r="A22" s="21" t="s">
        <v>190</v>
      </c>
      <c r="B22" s="14" t="s">
        <v>191</v>
      </c>
      <c r="C22" s="69" t="s">
        <v>34</v>
      </c>
      <c r="D22" s="72"/>
      <c r="E22" s="72">
        <f>E20</f>
        <v>2.4596747752497685</v>
      </c>
    </row>
    <row r="23" spans="1:5" ht="18" customHeight="1" x14ac:dyDescent="0.25">
      <c r="A23" s="21" t="s">
        <v>192</v>
      </c>
      <c r="B23" s="14" t="s">
        <v>193</v>
      </c>
      <c r="C23" s="69" t="s">
        <v>34</v>
      </c>
      <c r="D23" s="72"/>
      <c r="E23" s="72">
        <f>E18/SIN(E28*PI()/180)+(E11-E12)*((1/TAN(E29*PI()/180))-1/TAN(E28*PI()/180))</f>
        <v>2.4596747752497685</v>
      </c>
    </row>
    <row r="24" spans="1:5" ht="18" customHeight="1" x14ac:dyDescent="0.15">
      <c r="A24" s="21" t="s">
        <v>194</v>
      </c>
      <c r="B24" s="14" t="s">
        <v>195</v>
      </c>
      <c r="C24" s="69" t="s">
        <v>34</v>
      </c>
      <c r="D24" s="72"/>
      <c r="E24" s="72">
        <f>(E17*TAN((E28-E29)*PI()/180)+E18)*SIN(E28*PI()/180)</f>
        <v>0.49193495504995383</v>
      </c>
    </row>
    <row r="25" spans="1:5" ht="18" customHeight="1" x14ac:dyDescent="0.15">
      <c r="A25" s="21" t="s">
        <v>196</v>
      </c>
      <c r="B25" s="14" t="s">
        <v>197</v>
      </c>
      <c r="C25" s="69" t="s">
        <v>34</v>
      </c>
      <c r="D25" s="72"/>
      <c r="E25" s="72">
        <f>E20+E16/TAN(E28*PI()/180)</f>
        <v>4.427674775249768</v>
      </c>
    </row>
    <row r="26" spans="1:5" ht="18" customHeight="1" x14ac:dyDescent="0.15">
      <c r="A26" s="21" t="s">
        <v>198</v>
      </c>
      <c r="B26" s="14" t="s">
        <v>199</v>
      </c>
      <c r="C26" s="69" t="s">
        <v>34</v>
      </c>
      <c r="D26" s="72"/>
      <c r="E26" s="72">
        <f>E21-E24-E16/TAN(E28*PI()/180)</f>
        <v>-2.6017980018533393E-4</v>
      </c>
    </row>
    <row r="27" spans="1:5" ht="18" customHeight="1" x14ac:dyDescent="0.15">
      <c r="A27" s="21" t="s">
        <v>138</v>
      </c>
      <c r="B27" s="14" t="s">
        <v>139</v>
      </c>
      <c r="C27" s="69" t="s">
        <v>34</v>
      </c>
      <c r="D27" s="72"/>
      <c r="E27" s="72">
        <f>E11*(1-(TAN(E29*PI()/180)/TAN(E28*PI()/180)))+(TAN(E29*PI()/180)/SIN(E28*PI()/180))*E18</f>
        <v>1.2298373876248843</v>
      </c>
    </row>
    <row r="28" spans="1:5" ht="18" customHeight="1" x14ac:dyDescent="0.15">
      <c r="A28" s="21" t="s">
        <v>135</v>
      </c>
      <c r="B28" s="14" t="s">
        <v>136</v>
      </c>
      <c r="C28" s="69" t="s">
        <v>16</v>
      </c>
      <c r="D28" s="72"/>
      <c r="E28" s="72">
        <f>ATAN(1/E37)*180/PI()</f>
        <v>26.56505117707799</v>
      </c>
    </row>
    <row r="29" spans="1:5" ht="18" customHeight="1" x14ac:dyDescent="0.15">
      <c r="A29" s="21" t="s">
        <v>30</v>
      </c>
      <c r="B29" s="14" t="s">
        <v>137</v>
      </c>
      <c r="C29" s="73" t="s">
        <v>16</v>
      </c>
      <c r="D29" s="74"/>
      <c r="E29" s="74">
        <f>ATAN(1/E38)*180/PI()</f>
        <v>26.56505117707799</v>
      </c>
    </row>
    <row r="30" spans="1:5" ht="18" customHeight="1" x14ac:dyDescent="0.15">
      <c r="A30" s="21" t="s">
        <v>200</v>
      </c>
      <c r="B30" s="14" t="s">
        <v>201</v>
      </c>
      <c r="C30" s="73" t="s">
        <v>16</v>
      </c>
      <c r="D30" s="92"/>
      <c r="E30" s="93">
        <v>30</v>
      </c>
    </row>
    <row r="31" spans="1:5" ht="18" customHeight="1" x14ac:dyDescent="0.15">
      <c r="A31" s="21" t="s">
        <v>202</v>
      </c>
      <c r="B31" s="94" t="s">
        <v>203</v>
      </c>
      <c r="C31" s="95" t="s">
        <v>16</v>
      </c>
      <c r="D31" s="72"/>
      <c r="E31" s="70">
        <v>27</v>
      </c>
    </row>
    <row r="32" spans="1:5" ht="18" customHeight="1" x14ac:dyDescent="0.15">
      <c r="A32" s="21" t="s">
        <v>204</v>
      </c>
      <c r="B32" s="14" t="s">
        <v>205</v>
      </c>
      <c r="C32" s="69" t="s">
        <v>161</v>
      </c>
      <c r="D32" s="96"/>
      <c r="E32" s="96">
        <f>E33*(E17-E16/SIN(E28*PI()/180))</f>
        <v>0</v>
      </c>
    </row>
    <row r="33" spans="1:6" ht="18" customHeight="1" x14ac:dyDescent="0.15">
      <c r="A33" s="21" t="s">
        <v>206</v>
      </c>
      <c r="B33" s="14" t="s">
        <v>207</v>
      </c>
      <c r="C33" s="69" t="s">
        <v>208</v>
      </c>
      <c r="D33" s="72"/>
      <c r="E33" s="70">
        <v>0</v>
      </c>
    </row>
    <row r="34" spans="1:6" ht="18" customHeight="1" x14ac:dyDescent="0.15">
      <c r="A34" s="21" t="s">
        <v>12</v>
      </c>
      <c r="B34" s="14" t="s">
        <v>209</v>
      </c>
      <c r="C34" s="69" t="s">
        <v>161</v>
      </c>
      <c r="D34" s="72"/>
      <c r="E34" s="72">
        <f>E35*E21</f>
        <v>0</v>
      </c>
    </row>
    <row r="35" spans="1:6" ht="18" customHeight="1" x14ac:dyDescent="0.15">
      <c r="A35" s="21" t="s">
        <v>43</v>
      </c>
      <c r="B35" s="14" t="s">
        <v>210</v>
      </c>
      <c r="C35" s="69" t="s">
        <v>208</v>
      </c>
      <c r="D35" s="72"/>
      <c r="E35" s="70">
        <v>0</v>
      </c>
    </row>
    <row r="36" spans="1:6" ht="18" customHeight="1" x14ac:dyDescent="0.15">
      <c r="A36" s="97" t="s">
        <v>84</v>
      </c>
      <c r="B36" s="98" t="s">
        <v>211</v>
      </c>
      <c r="C36" s="99"/>
      <c r="D36" s="72"/>
      <c r="E36" s="100">
        <f>(-E47+SQRT(E47*E47-4*E44*E51))/(2*E44)</f>
        <v>1.386327091303251</v>
      </c>
      <c r="F36" s="101" t="str">
        <f>IF(E36&lt;1.5,"OUT","OK")</f>
        <v>OUT</v>
      </c>
    </row>
    <row r="37" spans="1:6" ht="18" customHeight="1" x14ac:dyDescent="0.15">
      <c r="A37" s="21" t="s">
        <v>140</v>
      </c>
      <c r="B37" s="14" t="s">
        <v>141</v>
      </c>
      <c r="C37" s="75" t="s">
        <v>23</v>
      </c>
      <c r="D37" s="102"/>
      <c r="E37" s="76">
        <v>2</v>
      </c>
    </row>
    <row r="38" spans="1:6" ht="18" customHeight="1" x14ac:dyDescent="0.15">
      <c r="A38" s="21" t="s">
        <v>142</v>
      </c>
      <c r="B38" s="14" t="s">
        <v>143</v>
      </c>
      <c r="C38" s="75" t="s">
        <v>23</v>
      </c>
      <c r="D38" s="103"/>
      <c r="E38" s="104">
        <v>2</v>
      </c>
    </row>
    <row r="39" spans="1:6" ht="18" customHeight="1" x14ac:dyDescent="0.15">
      <c r="A39" s="21" t="s">
        <v>212</v>
      </c>
      <c r="B39" s="14" t="s">
        <v>213</v>
      </c>
      <c r="C39" s="75"/>
      <c r="D39" s="103"/>
      <c r="E39" s="103">
        <f>ROUND(E12/E11,3)</f>
        <v>0.5</v>
      </c>
    </row>
    <row r="40" spans="1:6" ht="18" customHeight="1" x14ac:dyDescent="0.15">
      <c r="A40" s="21"/>
      <c r="B40" s="14"/>
      <c r="C40" s="69"/>
      <c r="D40" s="72"/>
      <c r="E40" s="72"/>
    </row>
    <row r="41" spans="1:6" ht="19.5" x14ac:dyDescent="0.4">
      <c r="B41" s="105" t="s">
        <v>214</v>
      </c>
    </row>
    <row r="42" spans="1:6" ht="19.5" customHeight="1" x14ac:dyDescent="0.15">
      <c r="A42" s="105"/>
      <c r="B42" s="106" t="s">
        <v>215</v>
      </c>
      <c r="C42" s="106" t="s">
        <v>150</v>
      </c>
      <c r="D42" s="1" t="s">
        <v>216</v>
      </c>
      <c r="F42" s="1" t="s">
        <v>151</v>
      </c>
    </row>
    <row r="43" spans="1:6" x14ac:dyDescent="0.15">
      <c r="D43" s="1" t="s">
        <v>217</v>
      </c>
    </row>
    <row r="44" spans="1:6" x14ac:dyDescent="0.15">
      <c r="A44" s="23" t="s">
        <v>218</v>
      </c>
      <c r="B44" s="24" t="s">
        <v>219</v>
      </c>
      <c r="C44" s="24"/>
      <c r="D44" s="107"/>
      <c r="E44" s="107">
        <f>E5*COS(((E29+E28)*PI()/180)/2)-E7*COS(E28*PI()/180)*COS(((E29+E28)*PI()/180)/2)-E14*COS(E28*PI()/180)*COS(((E29+E28)*PI()/180)/2)+E10*E27*E27*COS(E28*PI()/180)*COS(E28*PI()/180)*(1/2)*SIN(((E29+E28)*PI()/180)/2)</f>
        <v>24.172999101009836</v>
      </c>
    </row>
    <row r="45" spans="1:6" ht="19.5" x14ac:dyDescent="0.4">
      <c r="A45" s="108"/>
      <c r="B45" s="109" t="s">
        <v>220</v>
      </c>
      <c r="C45" s="109"/>
      <c r="D45" s="110"/>
      <c r="E45" s="110"/>
    </row>
    <row r="46" spans="1:6" x14ac:dyDescent="0.15">
      <c r="A46" s="64"/>
      <c r="B46" s="65"/>
      <c r="C46" s="65"/>
      <c r="D46" s="65"/>
      <c r="E46" s="65"/>
    </row>
    <row r="47" spans="1:6" x14ac:dyDescent="0.15">
      <c r="A47" s="23" t="s">
        <v>221</v>
      </c>
      <c r="B47" s="111" t="s">
        <v>222</v>
      </c>
      <c r="C47" s="111"/>
      <c r="D47" s="92"/>
      <c r="E47" s="107">
        <f>-E5*SIN(((E29+E28)*PI()/180)/2)*TAN(E30*PI()/180)+E7*COS(E28*PI()/180)*SIN(((E29+E28)*PI()/180)/2)*TAN(E30*PI()/180)-E7*TAN(E31*PI()/180)*SIN(E28*PI()/180)*COS(((E29+E28)*PI()/180)/2)-E32*SIN(E28*PI()/180)*COS(((E29+E28)*PI()/180)/2)+E14*COS(E28*PI()/180)*SIN(((E29+E28)*PI()/180)/2)*TAN(E30*PI()/180)-E8*E27*E21*TAN(E30*PI()/180)*(1/2)*SIN(((E29+E28)*PI()/180)/2)+(E21/E27)*TAN(E30*PI()/180)*(1/2)*E10*E27*E27*COS(E28*PI()/180)*COS(E28*PI()/180)*SIN(((E29+E28)*PI()/180)/2)-E34*SIN(((E29+E28)*PI()/180)/2)</f>
        <v>-38.641125007551679</v>
      </c>
    </row>
    <row r="48" spans="1:6" x14ac:dyDescent="0.15">
      <c r="A48" s="108"/>
      <c r="B48" s="112" t="s">
        <v>223</v>
      </c>
      <c r="C48" s="112"/>
      <c r="D48" s="113"/>
      <c r="E48" s="113"/>
    </row>
    <row r="49" spans="1:5" x14ac:dyDescent="0.15">
      <c r="A49" s="108"/>
      <c r="B49" s="112" t="s">
        <v>224</v>
      </c>
      <c r="C49" s="109"/>
      <c r="D49" s="109"/>
      <c r="E49" s="109"/>
    </row>
    <row r="50" spans="1:5" ht="19.5" x14ac:dyDescent="0.4">
      <c r="A50" s="64"/>
      <c r="B50" s="114" t="s">
        <v>225</v>
      </c>
      <c r="C50" s="65"/>
      <c r="D50" s="65"/>
      <c r="E50" s="65"/>
    </row>
    <row r="51" spans="1:5" x14ac:dyDescent="0.15">
      <c r="A51" s="23" t="s">
        <v>226</v>
      </c>
      <c r="B51" s="24" t="s">
        <v>227</v>
      </c>
      <c r="C51" s="24"/>
      <c r="D51" s="107"/>
      <c r="E51" s="107">
        <f>E7*TAN(E31*PI()/180)*SIN(E28*PI()/180)*SIN(((E29+E28)*PI()/180)/2)*TAN(E30*PI()/180)+E32*SIN(E28*PI()/180)*SIN(((E29+E28)*PI()/180)/2)*TAN(E30*PI()/180)</f>
        <v>7.1110836811180924</v>
      </c>
    </row>
    <row r="52" spans="1:5" x14ac:dyDescent="0.15">
      <c r="A52" s="64"/>
      <c r="B52" s="65"/>
      <c r="C52" s="65"/>
      <c r="D52" s="65"/>
      <c r="E52" s="65"/>
    </row>
    <row r="53" spans="1:5" x14ac:dyDescent="0.15">
      <c r="A53" s="23" t="s">
        <v>228</v>
      </c>
      <c r="B53" s="24" t="s">
        <v>229</v>
      </c>
      <c r="C53" s="24"/>
      <c r="D53" s="107"/>
      <c r="E53" s="24">
        <f>ROUND(E17*SIN(E28*PI()/180)+E18*COS(E28*PI()/180)-E11,3)</f>
        <v>0.98399999999999999</v>
      </c>
    </row>
    <row r="54" spans="1:5" ht="20.25" customHeight="1" x14ac:dyDescent="0.15">
      <c r="A54" s="108"/>
      <c r="B54" s="109"/>
      <c r="C54" s="109"/>
      <c r="D54" s="110"/>
      <c r="E54" s="110"/>
    </row>
    <row r="55" spans="1:5" x14ac:dyDescent="0.15">
      <c r="A55" s="64"/>
      <c r="B55" s="65"/>
      <c r="C55" s="65"/>
      <c r="D55" s="65"/>
      <c r="E55" s="65"/>
    </row>
  </sheetData>
  <mergeCells count="1">
    <mergeCell ref="D1:E1"/>
  </mergeCells>
  <phoneticPr fontId="2"/>
  <pageMargins left="0.78740157480314965" right="0.19685039370078741" top="0.98425196850393704" bottom="0.98425196850393704" header="0.51181102362204722" footer="0.51181102362204722"/>
  <pageSetup paperSize="9" scale="68"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893AC-6B9A-4649-BD53-4EBF0339A473}">
  <sheetPr>
    <tabColor rgb="FFFF0000"/>
  </sheetPr>
  <dimension ref="A1:J55"/>
  <sheetViews>
    <sheetView topLeftCell="A40" zoomScaleNormal="100" zoomScaleSheetLayoutView="100" workbookViewId="0">
      <selection activeCell="E42" sqref="E42"/>
    </sheetView>
  </sheetViews>
  <sheetFormatPr defaultRowHeight="13.5" x14ac:dyDescent="0.15"/>
  <cols>
    <col min="1" max="1" width="7.5" style="1" customWidth="1"/>
    <col min="2" max="2" width="84.375" style="1" customWidth="1"/>
    <col min="3" max="3" width="6.625" style="1" customWidth="1"/>
    <col min="4" max="4" width="9.75" style="1" customWidth="1"/>
    <col min="5" max="5" width="9.125" style="1" customWidth="1"/>
    <col min="6" max="7" width="9" style="1"/>
    <col min="8" max="8" width="9.875" style="1" bestFit="1" customWidth="1"/>
    <col min="9" max="256" width="9" style="1"/>
    <col min="257" max="257" width="7.5" style="1" customWidth="1"/>
    <col min="258" max="258" width="84.375" style="1" customWidth="1"/>
    <col min="259" max="259" width="6.625" style="1" customWidth="1"/>
    <col min="260" max="260" width="9.75" style="1" customWidth="1"/>
    <col min="261" max="261" width="9.125" style="1" customWidth="1"/>
    <col min="262" max="263" width="9" style="1"/>
    <col min="264" max="264" width="9.875" style="1" bestFit="1" customWidth="1"/>
    <col min="265" max="512" width="9" style="1"/>
    <col min="513" max="513" width="7.5" style="1" customWidth="1"/>
    <col min="514" max="514" width="84.375" style="1" customWidth="1"/>
    <col min="515" max="515" width="6.625" style="1" customWidth="1"/>
    <col min="516" max="516" width="9.75" style="1" customWidth="1"/>
    <col min="517" max="517" width="9.125" style="1" customWidth="1"/>
    <col min="518" max="519" width="9" style="1"/>
    <col min="520" max="520" width="9.875" style="1" bestFit="1" customWidth="1"/>
    <col min="521" max="768" width="9" style="1"/>
    <col min="769" max="769" width="7.5" style="1" customWidth="1"/>
    <col min="770" max="770" width="84.375" style="1" customWidth="1"/>
    <col min="771" max="771" width="6.625" style="1" customWidth="1"/>
    <col min="772" max="772" width="9.75" style="1" customWidth="1"/>
    <col min="773" max="773" width="9.125" style="1" customWidth="1"/>
    <col min="774" max="775" width="9" style="1"/>
    <col min="776" max="776" width="9.875" style="1" bestFit="1" customWidth="1"/>
    <col min="777" max="1024" width="9" style="1"/>
    <col min="1025" max="1025" width="7.5" style="1" customWidth="1"/>
    <col min="1026" max="1026" width="84.375" style="1" customWidth="1"/>
    <col min="1027" max="1027" width="6.625" style="1" customWidth="1"/>
    <col min="1028" max="1028" width="9.75" style="1" customWidth="1"/>
    <col min="1029" max="1029" width="9.125" style="1" customWidth="1"/>
    <col min="1030" max="1031" width="9" style="1"/>
    <col min="1032" max="1032" width="9.875" style="1" bestFit="1" customWidth="1"/>
    <col min="1033" max="1280" width="9" style="1"/>
    <col min="1281" max="1281" width="7.5" style="1" customWidth="1"/>
    <col min="1282" max="1282" width="84.375" style="1" customWidth="1"/>
    <col min="1283" max="1283" width="6.625" style="1" customWidth="1"/>
    <col min="1284" max="1284" width="9.75" style="1" customWidth="1"/>
    <col min="1285" max="1285" width="9.125" style="1" customWidth="1"/>
    <col min="1286" max="1287" width="9" style="1"/>
    <col min="1288" max="1288" width="9.875" style="1" bestFit="1" customWidth="1"/>
    <col min="1289" max="1536" width="9" style="1"/>
    <col min="1537" max="1537" width="7.5" style="1" customWidth="1"/>
    <col min="1538" max="1538" width="84.375" style="1" customWidth="1"/>
    <col min="1539" max="1539" width="6.625" style="1" customWidth="1"/>
    <col min="1540" max="1540" width="9.75" style="1" customWidth="1"/>
    <col min="1541" max="1541" width="9.125" style="1" customWidth="1"/>
    <col min="1542" max="1543" width="9" style="1"/>
    <col min="1544" max="1544" width="9.875" style="1" bestFit="1" customWidth="1"/>
    <col min="1545" max="1792" width="9" style="1"/>
    <col min="1793" max="1793" width="7.5" style="1" customWidth="1"/>
    <col min="1794" max="1794" width="84.375" style="1" customWidth="1"/>
    <col min="1795" max="1795" width="6.625" style="1" customWidth="1"/>
    <col min="1796" max="1796" width="9.75" style="1" customWidth="1"/>
    <col min="1797" max="1797" width="9.125" style="1" customWidth="1"/>
    <col min="1798" max="1799" width="9" style="1"/>
    <col min="1800" max="1800" width="9.875" style="1" bestFit="1" customWidth="1"/>
    <col min="1801" max="2048" width="9" style="1"/>
    <col min="2049" max="2049" width="7.5" style="1" customWidth="1"/>
    <col min="2050" max="2050" width="84.375" style="1" customWidth="1"/>
    <col min="2051" max="2051" width="6.625" style="1" customWidth="1"/>
    <col min="2052" max="2052" width="9.75" style="1" customWidth="1"/>
    <col min="2053" max="2053" width="9.125" style="1" customWidth="1"/>
    <col min="2054" max="2055" width="9" style="1"/>
    <col min="2056" max="2056" width="9.875" style="1" bestFit="1" customWidth="1"/>
    <col min="2057" max="2304" width="9" style="1"/>
    <col min="2305" max="2305" width="7.5" style="1" customWidth="1"/>
    <col min="2306" max="2306" width="84.375" style="1" customWidth="1"/>
    <col min="2307" max="2307" width="6.625" style="1" customWidth="1"/>
    <col min="2308" max="2308" width="9.75" style="1" customWidth="1"/>
    <col min="2309" max="2309" width="9.125" style="1" customWidth="1"/>
    <col min="2310" max="2311" width="9" style="1"/>
    <col min="2312" max="2312" width="9.875" style="1" bestFit="1" customWidth="1"/>
    <col min="2313" max="2560" width="9" style="1"/>
    <col min="2561" max="2561" width="7.5" style="1" customWidth="1"/>
    <col min="2562" max="2562" width="84.375" style="1" customWidth="1"/>
    <col min="2563" max="2563" width="6.625" style="1" customWidth="1"/>
    <col min="2564" max="2564" width="9.75" style="1" customWidth="1"/>
    <col min="2565" max="2565" width="9.125" style="1" customWidth="1"/>
    <col min="2566" max="2567" width="9" style="1"/>
    <col min="2568" max="2568" width="9.875" style="1" bestFit="1" customWidth="1"/>
    <col min="2569" max="2816" width="9" style="1"/>
    <col min="2817" max="2817" width="7.5" style="1" customWidth="1"/>
    <col min="2818" max="2818" width="84.375" style="1" customWidth="1"/>
    <col min="2819" max="2819" width="6.625" style="1" customWidth="1"/>
    <col min="2820" max="2820" width="9.75" style="1" customWidth="1"/>
    <col min="2821" max="2821" width="9.125" style="1" customWidth="1"/>
    <col min="2822" max="2823" width="9" style="1"/>
    <col min="2824" max="2824" width="9.875" style="1" bestFit="1" customWidth="1"/>
    <col min="2825" max="3072" width="9" style="1"/>
    <col min="3073" max="3073" width="7.5" style="1" customWidth="1"/>
    <col min="3074" max="3074" width="84.375" style="1" customWidth="1"/>
    <col min="3075" max="3075" width="6.625" style="1" customWidth="1"/>
    <col min="3076" max="3076" width="9.75" style="1" customWidth="1"/>
    <col min="3077" max="3077" width="9.125" style="1" customWidth="1"/>
    <col min="3078" max="3079" width="9" style="1"/>
    <col min="3080" max="3080" width="9.875" style="1" bestFit="1" customWidth="1"/>
    <col min="3081" max="3328" width="9" style="1"/>
    <col min="3329" max="3329" width="7.5" style="1" customWidth="1"/>
    <col min="3330" max="3330" width="84.375" style="1" customWidth="1"/>
    <col min="3331" max="3331" width="6.625" style="1" customWidth="1"/>
    <col min="3332" max="3332" width="9.75" style="1" customWidth="1"/>
    <col min="3333" max="3333" width="9.125" style="1" customWidth="1"/>
    <col min="3334" max="3335" width="9" style="1"/>
    <col min="3336" max="3336" width="9.875" style="1" bestFit="1" customWidth="1"/>
    <col min="3337" max="3584" width="9" style="1"/>
    <col min="3585" max="3585" width="7.5" style="1" customWidth="1"/>
    <col min="3586" max="3586" width="84.375" style="1" customWidth="1"/>
    <col min="3587" max="3587" width="6.625" style="1" customWidth="1"/>
    <col min="3588" max="3588" width="9.75" style="1" customWidth="1"/>
    <col min="3589" max="3589" width="9.125" style="1" customWidth="1"/>
    <col min="3590" max="3591" width="9" style="1"/>
    <col min="3592" max="3592" width="9.875" style="1" bestFit="1" customWidth="1"/>
    <col min="3593" max="3840" width="9" style="1"/>
    <col min="3841" max="3841" width="7.5" style="1" customWidth="1"/>
    <col min="3842" max="3842" width="84.375" style="1" customWidth="1"/>
    <col min="3843" max="3843" width="6.625" style="1" customWidth="1"/>
    <col min="3844" max="3844" width="9.75" style="1" customWidth="1"/>
    <col min="3845" max="3845" width="9.125" style="1" customWidth="1"/>
    <col min="3846" max="3847" width="9" style="1"/>
    <col min="3848" max="3848" width="9.875" style="1" bestFit="1" customWidth="1"/>
    <col min="3849" max="4096" width="9" style="1"/>
    <col min="4097" max="4097" width="7.5" style="1" customWidth="1"/>
    <col min="4098" max="4098" width="84.375" style="1" customWidth="1"/>
    <col min="4099" max="4099" width="6.625" style="1" customWidth="1"/>
    <col min="4100" max="4100" width="9.75" style="1" customWidth="1"/>
    <col min="4101" max="4101" width="9.125" style="1" customWidth="1"/>
    <col min="4102" max="4103" width="9" style="1"/>
    <col min="4104" max="4104" width="9.875" style="1" bestFit="1" customWidth="1"/>
    <col min="4105" max="4352" width="9" style="1"/>
    <col min="4353" max="4353" width="7.5" style="1" customWidth="1"/>
    <col min="4354" max="4354" width="84.375" style="1" customWidth="1"/>
    <col min="4355" max="4355" width="6.625" style="1" customWidth="1"/>
    <col min="4356" max="4356" width="9.75" style="1" customWidth="1"/>
    <col min="4357" max="4357" width="9.125" style="1" customWidth="1"/>
    <col min="4358" max="4359" width="9" style="1"/>
    <col min="4360" max="4360" width="9.875" style="1" bestFit="1" customWidth="1"/>
    <col min="4361" max="4608" width="9" style="1"/>
    <col min="4609" max="4609" width="7.5" style="1" customWidth="1"/>
    <col min="4610" max="4610" width="84.375" style="1" customWidth="1"/>
    <col min="4611" max="4611" width="6.625" style="1" customWidth="1"/>
    <col min="4612" max="4612" width="9.75" style="1" customWidth="1"/>
    <col min="4613" max="4613" width="9.125" style="1" customWidth="1"/>
    <col min="4614" max="4615" width="9" style="1"/>
    <col min="4616" max="4616" width="9.875" style="1" bestFit="1" customWidth="1"/>
    <col min="4617" max="4864" width="9" style="1"/>
    <col min="4865" max="4865" width="7.5" style="1" customWidth="1"/>
    <col min="4866" max="4866" width="84.375" style="1" customWidth="1"/>
    <col min="4867" max="4867" width="6.625" style="1" customWidth="1"/>
    <col min="4868" max="4868" width="9.75" style="1" customWidth="1"/>
    <col min="4869" max="4869" width="9.125" style="1" customWidth="1"/>
    <col min="4870" max="4871" width="9" style="1"/>
    <col min="4872" max="4872" width="9.875" style="1" bestFit="1" customWidth="1"/>
    <col min="4873" max="5120" width="9" style="1"/>
    <col min="5121" max="5121" width="7.5" style="1" customWidth="1"/>
    <col min="5122" max="5122" width="84.375" style="1" customWidth="1"/>
    <col min="5123" max="5123" width="6.625" style="1" customWidth="1"/>
    <col min="5124" max="5124" width="9.75" style="1" customWidth="1"/>
    <col min="5125" max="5125" width="9.125" style="1" customWidth="1"/>
    <col min="5126" max="5127" width="9" style="1"/>
    <col min="5128" max="5128" width="9.875" style="1" bestFit="1" customWidth="1"/>
    <col min="5129" max="5376" width="9" style="1"/>
    <col min="5377" max="5377" width="7.5" style="1" customWidth="1"/>
    <col min="5378" max="5378" width="84.375" style="1" customWidth="1"/>
    <col min="5379" max="5379" width="6.625" style="1" customWidth="1"/>
    <col min="5380" max="5380" width="9.75" style="1" customWidth="1"/>
    <col min="5381" max="5381" width="9.125" style="1" customWidth="1"/>
    <col min="5382" max="5383" width="9" style="1"/>
    <col min="5384" max="5384" width="9.875" style="1" bestFit="1" customWidth="1"/>
    <col min="5385" max="5632" width="9" style="1"/>
    <col min="5633" max="5633" width="7.5" style="1" customWidth="1"/>
    <col min="5634" max="5634" width="84.375" style="1" customWidth="1"/>
    <col min="5635" max="5635" width="6.625" style="1" customWidth="1"/>
    <col min="5636" max="5636" width="9.75" style="1" customWidth="1"/>
    <col min="5637" max="5637" width="9.125" style="1" customWidth="1"/>
    <col min="5638" max="5639" width="9" style="1"/>
    <col min="5640" max="5640" width="9.875" style="1" bestFit="1" customWidth="1"/>
    <col min="5641" max="5888" width="9" style="1"/>
    <col min="5889" max="5889" width="7.5" style="1" customWidth="1"/>
    <col min="5890" max="5890" width="84.375" style="1" customWidth="1"/>
    <col min="5891" max="5891" width="6.625" style="1" customWidth="1"/>
    <col min="5892" max="5892" width="9.75" style="1" customWidth="1"/>
    <col min="5893" max="5893" width="9.125" style="1" customWidth="1"/>
    <col min="5894" max="5895" width="9" style="1"/>
    <col min="5896" max="5896" width="9.875" style="1" bestFit="1" customWidth="1"/>
    <col min="5897" max="6144" width="9" style="1"/>
    <col min="6145" max="6145" width="7.5" style="1" customWidth="1"/>
    <col min="6146" max="6146" width="84.375" style="1" customWidth="1"/>
    <col min="6147" max="6147" width="6.625" style="1" customWidth="1"/>
    <col min="6148" max="6148" width="9.75" style="1" customWidth="1"/>
    <col min="6149" max="6149" width="9.125" style="1" customWidth="1"/>
    <col min="6150" max="6151" width="9" style="1"/>
    <col min="6152" max="6152" width="9.875" style="1" bestFit="1" customWidth="1"/>
    <col min="6153" max="6400" width="9" style="1"/>
    <col min="6401" max="6401" width="7.5" style="1" customWidth="1"/>
    <col min="6402" max="6402" width="84.375" style="1" customWidth="1"/>
    <col min="6403" max="6403" width="6.625" style="1" customWidth="1"/>
    <col min="6404" max="6404" width="9.75" style="1" customWidth="1"/>
    <col min="6405" max="6405" width="9.125" style="1" customWidth="1"/>
    <col min="6406" max="6407" width="9" style="1"/>
    <col min="6408" max="6408" width="9.875" style="1" bestFit="1" customWidth="1"/>
    <col min="6409" max="6656" width="9" style="1"/>
    <col min="6657" max="6657" width="7.5" style="1" customWidth="1"/>
    <col min="6658" max="6658" width="84.375" style="1" customWidth="1"/>
    <col min="6659" max="6659" width="6.625" style="1" customWidth="1"/>
    <col min="6660" max="6660" width="9.75" style="1" customWidth="1"/>
    <col min="6661" max="6661" width="9.125" style="1" customWidth="1"/>
    <col min="6662" max="6663" width="9" style="1"/>
    <col min="6664" max="6664" width="9.875" style="1" bestFit="1" customWidth="1"/>
    <col min="6665" max="6912" width="9" style="1"/>
    <col min="6913" max="6913" width="7.5" style="1" customWidth="1"/>
    <col min="6914" max="6914" width="84.375" style="1" customWidth="1"/>
    <col min="6915" max="6915" width="6.625" style="1" customWidth="1"/>
    <col min="6916" max="6916" width="9.75" style="1" customWidth="1"/>
    <col min="6917" max="6917" width="9.125" style="1" customWidth="1"/>
    <col min="6918" max="6919" width="9" style="1"/>
    <col min="6920" max="6920" width="9.875" style="1" bestFit="1" customWidth="1"/>
    <col min="6921" max="7168" width="9" style="1"/>
    <col min="7169" max="7169" width="7.5" style="1" customWidth="1"/>
    <col min="7170" max="7170" width="84.375" style="1" customWidth="1"/>
    <col min="7171" max="7171" width="6.625" style="1" customWidth="1"/>
    <col min="7172" max="7172" width="9.75" style="1" customWidth="1"/>
    <col min="7173" max="7173" width="9.125" style="1" customWidth="1"/>
    <col min="7174" max="7175" width="9" style="1"/>
    <col min="7176" max="7176" width="9.875" style="1" bestFit="1" customWidth="1"/>
    <col min="7177" max="7424" width="9" style="1"/>
    <col min="7425" max="7425" width="7.5" style="1" customWidth="1"/>
    <col min="7426" max="7426" width="84.375" style="1" customWidth="1"/>
    <col min="7427" max="7427" width="6.625" style="1" customWidth="1"/>
    <col min="7428" max="7428" width="9.75" style="1" customWidth="1"/>
    <col min="7429" max="7429" width="9.125" style="1" customWidth="1"/>
    <col min="7430" max="7431" width="9" style="1"/>
    <col min="7432" max="7432" width="9.875" style="1" bestFit="1" customWidth="1"/>
    <col min="7433" max="7680" width="9" style="1"/>
    <col min="7681" max="7681" width="7.5" style="1" customWidth="1"/>
    <col min="7682" max="7682" width="84.375" style="1" customWidth="1"/>
    <col min="7683" max="7683" width="6.625" style="1" customWidth="1"/>
    <col min="7684" max="7684" width="9.75" style="1" customWidth="1"/>
    <col min="7685" max="7685" width="9.125" style="1" customWidth="1"/>
    <col min="7686" max="7687" width="9" style="1"/>
    <col min="7688" max="7688" width="9.875" style="1" bestFit="1" customWidth="1"/>
    <col min="7689" max="7936" width="9" style="1"/>
    <col min="7937" max="7937" width="7.5" style="1" customWidth="1"/>
    <col min="7938" max="7938" width="84.375" style="1" customWidth="1"/>
    <col min="7939" max="7939" width="6.625" style="1" customWidth="1"/>
    <col min="7940" max="7940" width="9.75" style="1" customWidth="1"/>
    <col min="7941" max="7941" width="9.125" style="1" customWidth="1"/>
    <col min="7942" max="7943" width="9" style="1"/>
    <col min="7944" max="7944" width="9.875" style="1" bestFit="1" customWidth="1"/>
    <col min="7945" max="8192" width="9" style="1"/>
    <col min="8193" max="8193" width="7.5" style="1" customWidth="1"/>
    <col min="8194" max="8194" width="84.375" style="1" customWidth="1"/>
    <col min="8195" max="8195" width="6.625" style="1" customWidth="1"/>
    <col min="8196" max="8196" width="9.75" style="1" customWidth="1"/>
    <col min="8197" max="8197" width="9.125" style="1" customWidth="1"/>
    <col min="8198" max="8199" width="9" style="1"/>
    <col min="8200" max="8200" width="9.875" style="1" bestFit="1" customWidth="1"/>
    <col min="8201" max="8448" width="9" style="1"/>
    <col min="8449" max="8449" width="7.5" style="1" customWidth="1"/>
    <col min="8450" max="8450" width="84.375" style="1" customWidth="1"/>
    <col min="8451" max="8451" width="6.625" style="1" customWidth="1"/>
    <col min="8452" max="8452" width="9.75" style="1" customWidth="1"/>
    <col min="8453" max="8453" width="9.125" style="1" customWidth="1"/>
    <col min="8454" max="8455" width="9" style="1"/>
    <col min="8456" max="8456" width="9.875" style="1" bestFit="1" customWidth="1"/>
    <col min="8457" max="8704" width="9" style="1"/>
    <col min="8705" max="8705" width="7.5" style="1" customWidth="1"/>
    <col min="8706" max="8706" width="84.375" style="1" customWidth="1"/>
    <col min="8707" max="8707" width="6.625" style="1" customWidth="1"/>
    <col min="8708" max="8708" width="9.75" style="1" customWidth="1"/>
    <col min="8709" max="8709" width="9.125" style="1" customWidth="1"/>
    <col min="8710" max="8711" width="9" style="1"/>
    <col min="8712" max="8712" width="9.875" style="1" bestFit="1" customWidth="1"/>
    <col min="8713" max="8960" width="9" style="1"/>
    <col min="8961" max="8961" width="7.5" style="1" customWidth="1"/>
    <col min="8962" max="8962" width="84.375" style="1" customWidth="1"/>
    <col min="8963" max="8963" width="6.625" style="1" customWidth="1"/>
    <col min="8964" max="8964" width="9.75" style="1" customWidth="1"/>
    <col min="8965" max="8965" width="9.125" style="1" customWidth="1"/>
    <col min="8966" max="8967" width="9" style="1"/>
    <col min="8968" max="8968" width="9.875" style="1" bestFit="1" customWidth="1"/>
    <col min="8969" max="9216" width="9" style="1"/>
    <col min="9217" max="9217" width="7.5" style="1" customWidth="1"/>
    <col min="9218" max="9218" width="84.375" style="1" customWidth="1"/>
    <col min="9219" max="9219" width="6.625" style="1" customWidth="1"/>
    <col min="9220" max="9220" width="9.75" style="1" customWidth="1"/>
    <col min="9221" max="9221" width="9.125" style="1" customWidth="1"/>
    <col min="9222" max="9223" width="9" style="1"/>
    <col min="9224" max="9224" width="9.875" style="1" bestFit="1" customWidth="1"/>
    <col min="9225" max="9472" width="9" style="1"/>
    <col min="9473" max="9473" width="7.5" style="1" customWidth="1"/>
    <col min="9474" max="9474" width="84.375" style="1" customWidth="1"/>
    <col min="9475" max="9475" width="6.625" style="1" customWidth="1"/>
    <col min="9476" max="9476" width="9.75" style="1" customWidth="1"/>
    <col min="9477" max="9477" width="9.125" style="1" customWidth="1"/>
    <col min="9478" max="9479" width="9" style="1"/>
    <col min="9480" max="9480" width="9.875" style="1" bestFit="1" customWidth="1"/>
    <col min="9481" max="9728" width="9" style="1"/>
    <col min="9729" max="9729" width="7.5" style="1" customWidth="1"/>
    <col min="9730" max="9730" width="84.375" style="1" customWidth="1"/>
    <col min="9731" max="9731" width="6.625" style="1" customWidth="1"/>
    <col min="9732" max="9732" width="9.75" style="1" customWidth="1"/>
    <col min="9733" max="9733" width="9.125" style="1" customWidth="1"/>
    <col min="9734" max="9735" width="9" style="1"/>
    <col min="9736" max="9736" width="9.875" style="1" bestFit="1" customWidth="1"/>
    <col min="9737" max="9984" width="9" style="1"/>
    <col min="9985" max="9985" width="7.5" style="1" customWidth="1"/>
    <col min="9986" max="9986" width="84.375" style="1" customWidth="1"/>
    <col min="9987" max="9987" width="6.625" style="1" customWidth="1"/>
    <col min="9988" max="9988" width="9.75" style="1" customWidth="1"/>
    <col min="9989" max="9989" width="9.125" style="1" customWidth="1"/>
    <col min="9990" max="9991" width="9" style="1"/>
    <col min="9992" max="9992" width="9.875" style="1" bestFit="1" customWidth="1"/>
    <col min="9993" max="10240" width="9" style="1"/>
    <col min="10241" max="10241" width="7.5" style="1" customWidth="1"/>
    <col min="10242" max="10242" width="84.375" style="1" customWidth="1"/>
    <col min="10243" max="10243" width="6.625" style="1" customWidth="1"/>
    <col min="10244" max="10244" width="9.75" style="1" customWidth="1"/>
    <col min="10245" max="10245" width="9.125" style="1" customWidth="1"/>
    <col min="10246" max="10247" width="9" style="1"/>
    <col min="10248" max="10248" width="9.875" style="1" bestFit="1" customWidth="1"/>
    <col min="10249" max="10496" width="9" style="1"/>
    <col min="10497" max="10497" width="7.5" style="1" customWidth="1"/>
    <col min="10498" max="10498" width="84.375" style="1" customWidth="1"/>
    <col min="10499" max="10499" width="6.625" style="1" customWidth="1"/>
    <col min="10500" max="10500" width="9.75" style="1" customWidth="1"/>
    <col min="10501" max="10501" width="9.125" style="1" customWidth="1"/>
    <col min="10502" max="10503" width="9" style="1"/>
    <col min="10504" max="10504" width="9.875" style="1" bestFit="1" customWidth="1"/>
    <col min="10505" max="10752" width="9" style="1"/>
    <col min="10753" max="10753" width="7.5" style="1" customWidth="1"/>
    <col min="10754" max="10754" width="84.375" style="1" customWidth="1"/>
    <col min="10755" max="10755" width="6.625" style="1" customWidth="1"/>
    <col min="10756" max="10756" width="9.75" style="1" customWidth="1"/>
    <col min="10757" max="10757" width="9.125" style="1" customWidth="1"/>
    <col min="10758" max="10759" width="9" style="1"/>
    <col min="10760" max="10760" width="9.875" style="1" bestFit="1" customWidth="1"/>
    <col min="10761" max="11008" width="9" style="1"/>
    <col min="11009" max="11009" width="7.5" style="1" customWidth="1"/>
    <col min="11010" max="11010" width="84.375" style="1" customWidth="1"/>
    <col min="11011" max="11011" width="6.625" style="1" customWidth="1"/>
    <col min="11012" max="11012" width="9.75" style="1" customWidth="1"/>
    <col min="11013" max="11013" width="9.125" style="1" customWidth="1"/>
    <col min="11014" max="11015" width="9" style="1"/>
    <col min="11016" max="11016" width="9.875" style="1" bestFit="1" customWidth="1"/>
    <col min="11017" max="11264" width="9" style="1"/>
    <col min="11265" max="11265" width="7.5" style="1" customWidth="1"/>
    <col min="11266" max="11266" width="84.375" style="1" customWidth="1"/>
    <col min="11267" max="11267" width="6.625" style="1" customWidth="1"/>
    <col min="11268" max="11268" width="9.75" style="1" customWidth="1"/>
    <col min="11269" max="11269" width="9.125" style="1" customWidth="1"/>
    <col min="11270" max="11271" width="9" style="1"/>
    <col min="11272" max="11272" width="9.875" style="1" bestFit="1" customWidth="1"/>
    <col min="11273" max="11520" width="9" style="1"/>
    <col min="11521" max="11521" width="7.5" style="1" customWidth="1"/>
    <col min="11522" max="11522" width="84.375" style="1" customWidth="1"/>
    <col min="11523" max="11523" width="6.625" style="1" customWidth="1"/>
    <col min="11524" max="11524" width="9.75" style="1" customWidth="1"/>
    <col min="11525" max="11525" width="9.125" style="1" customWidth="1"/>
    <col min="11526" max="11527" width="9" style="1"/>
    <col min="11528" max="11528" width="9.875" style="1" bestFit="1" customWidth="1"/>
    <col min="11529" max="11776" width="9" style="1"/>
    <col min="11777" max="11777" width="7.5" style="1" customWidth="1"/>
    <col min="11778" max="11778" width="84.375" style="1" customWidth="1"/>
    <col min="11779" max="11779" width="6.625" style="1" customWidth="1"/>
    <col min="11780" max="11780" width="9.75" style="1" customWidth="1"/>
    <col min="11781" max="11781" width="9.125" style="1" customWidth="1"/>
    <col min="11782" max="11783" width="9" style="1"/>
    <col min="11784" max="11784" width="9.875" style="1" bestFit="1" customWidth="1"/>
    <col min="11785" max="12032" width="9" style="1"/>
    <col min="12033" max="12033" width="7.5" style="1" customWidth="1"/>
    <col min="12034" max="12034" width="84.375" style="1" customWidth="1"/>
    <col min="12035" max="12035" width="6.625" style="1" customWidth="1"/>
    <col min="12036" max="12036" width="9.75" style="1" customWidth="1"/>
    <col min="12037" max="12037" width="9.125" style="1" customWidth="1"/>
    <col min="12038" max="12039" width="9" style="1"/>
    <col min="12040" max="12040" width="9.875" style="1" bestFit="1" customWidth="1"/>
    <col min="12041" max="12288" width="9" style="1"/>
    <col min="12289" max="12289" width="7.5" style="1" customWidth="1"/>
    <col min="12290" max="12290" width="84.375" style="1" customWidth="1"/>
    <col min="12291" max="12291" width="6.625" style="1" customWidth="1"/>
    <col min="12292" max="12292" width="9.75" style="1" customWidth="1"/>
    <col min="12293" max="12293" width="9.125" style="1" customWidth="1"/>
    <col min="12294" max="12295" width="9" style="1"/>
    <col min="12296" max="12296" width="9.875" style="1" bestFit="1" customWidth="1"/>
    <col min="12297" max="12544" width="9" style="1"/>
    <col min="12545" max="12545" width="7.5" style="1" customWidth="1"/>
    <col min="12546" max="12546" width="84.375" style="1" customWidth="1"/>
    <col min="12547" max="12547" width="6.625" style="1" customWidth="1"/>
    <col min="12548" max="12548" width="9.75" style="1" customWidth="1"/>
    <col min="12549" max="12549" width="9.125" style="1" customWidth="1"/>
    <col min="12550" max="12551" width="9" style="1"/>
    <col min="12552" max="12552" width="9.875" style="1" bestFit="1" customWidth="1"/>
    <col min="12553" max="12800" width="9" style="1"/>
    <col min="12801" max="12801" width="7.5" style="1" customWidth="1"/>
    <col min="12802" max="12802" width="84.375" style="1" customWidth="1"/>
    <col min="12803" max="12803" width="6.625" style="1" customWidth="1"/>
    <col min="12804" max="12804" width="9.75" style="1" customWidth="1"/>
    <col min="12805" max="12805" width="9.125" style="1" customWidth="1"/>
    <col min="12806" max="12807" width="9" style="1"/>
    <col min="12808" max="12808" width="9.875" style="1" bestFit="1" customWidth="1"/>
    <col min="12809" max="13056" width="9" style="1"/>
    <col min="13057" max="13057" width="7.5" style="1" customWidth="1"/>
    <col min="13058" max="13058" width="84.375" style="1" customWidth="1"/>
    <col min="13059" max="13059" width="6.625" style="1" customWidth="1"/>
    <col min="13060" max="13060" width="9.75" style="1" customWidth="1"/>
    <col min="13061" max="13061" width="9.125" style="1" customWidth="1"/>
    <col min="13062" max="13063" width="9" style="1"/>
    <col min="13064" max="13064" width="9.875" style="1" bestFit="1" customWidth="1"/>
    <col min="13065" max="13312" width="9" style="1"/>
    <col min="13313" max="13313" width="7.5" style="1" customWidth="1"/>
    <col min="13314" max="13314" width="84.375" style="1" customWidth="1"/>
    <col min="13315" max="13315" width="6.625" style="1" customWidth="1"/>
    <col min="13316" max="13316" width="9.75" style="1" customWidth="1"/>
    <col min="13317" max="13317" width="9.125" style="1" customWidth="1"/>
    <col min="13318" max="13319" width="9" style="1"/>
    <col min="13320" max="13320" width="9.875" style="1" bestFit="1" customWidth="1"/>
    <col min="13321" max="13568" width="9" style="1"/>
    <col min="13569" max="13569" width="7.5" style="1" customWidth="1"/>
    <col min="13570" max="13570" width="84.375" style="1" customWidth="1"/>
    <col min="13571" max="13571" width="6.625" style="1" customWidth="1"/>
    <col min="13572" max="13572" width="9.75" style="1" customWidth="1"/>
    <col min="13573" max="13573" width="9.125" style="1" customWidth="1"/>
    <col min="13574" max="13575" width="9" style="1"/>
    <col min="13576" max="13576" width="9.875" style="1" bestFit="1" customWidth="1"/>
    <col min="13577" max="13824" width="9" style="1"/>
    <col min="13825" max="13825" width="7.5" style="1" customWidth="1"/>
    <col min="13826" max="13826" width="84.375" style="1" customWidth="1"/>
    <col min="13827" max="13827" width="6.625" style="1" customWidth="1"/>
    <col min="13828" max="13828" width="9.75" style="1" customWidth="1"/>
    <col min="13829" max="13829" width="9.125" style="1" customWidth="1"/>
    <col min="13830" max="13831" width="9" style="1"/>
    <col min="13832" max="13832" width="9.875" style="1" bestFit="1" customWidth="1"/>
    <col min="13833" max="14080" width="9" style="1"/>
    <col min="14081" max="14081" width="7.5" style="1" customWidth="1"/>
    <col min="14082" max="14082" width="84.375" style="1" customWidth="1"/>
    <col min="14083" max="14083" width="6.625" style="1" customWidth="1"/>
    <col min="14084" max="14084" width="9.75" style="1" customWidth="1"/>
    <col min="14085" max="14085" width="9.125" style="1" customWidth="1"/>
    <col min="14086" max="14087" width="9" style="1"/>
    <col min="14088" max="14088" width="9.875" style="1" bestFit="1" customWidth="1"/>
    <col min="14089" max="14336" width="9" style="1"/>
    <col min="14337" max="14337" width="7.5" style="1" customWidth="1"/>
    <col min="14338" max="14338" width="84.375" style="1" customWidth="1"/>
    <col min="14339" max="14339" width="6.625" style="1" customWidth="1"/>
    <col min="14340" max="14340" width="9.75" style="1" customWidth="1"/>
    <col min="14341" max="14341" width="9.125" style="1" customWidth="1"/>
    <col min="14342" max="14343" width="9" style="1"/>
    <col min="14344" max="14344" width="9.875" style="1" bestFit="1" customWidth="1"/>
    <col min="14345" max="14592" width="9" style="1"/>
    <col min="14593" max="14593" width="7.5" style="1" customWidth="1"/>
    <col min="14594" max="14594" width="84.375" style="1" customWidth="1"/>
    <col min="14595" max="14595" width="6.625" style="1" customWidth="1"/>
    <col min="14596" max="14596" width="9.75" style="1" customWidth="1"/>
    <col min="14597" max="14597" width="9.125" style="1" customWidth="1"/>
    <col min="14598" max="14599" width="9" style="1"/>
    <col min="14600" max="14600" width="9.875" style="1" bestFit="1" customWidth="1"/>
    <col min="14601" max="14848" width="9" style="1"/>
    <col min="14849" max="14849" width="7.5" style="1" customWidth="1"/>
    <col min="14850" max="14850" width="84.375" style="1" customWidth="1"/>
    <col min="14851" max="14851" width="6.625" style="1" customWidth="1"/>
    <col min="14852" max="14852" width="9.75" style="1" customWidth="1"/>
    <col min="14853" max="14853" width="9.125" style="1" customWidth="1"/>
    <col min="14854" max="14855" width="9" style="1"/>
    <col min="14856" max="14856" width="9.875" style="1" bestFit="1" customWidth="1"/>
    <col min="14857" max="15104" width="9" style="1"/>
    <col min="15105" max="15105" width="7.5" style="1" customWidth="1"/>
    <col min="15106" max="15106" width="84.375" style="1" customWidth="1"/>
    <col min="15107" max="15107" width="6.625" style="1" customWidth="1"/>
    <col min="15108" max="15108" width="9.75" style="1" customWidth="1"/>
    <col min="15109" max="15109" width="9.125" style="1" customWidth="1"/>
    <col min="15110" max="15111" width="9" style="1"/>
    <col min="15112" max="15112" width="9.875" style="1" bestFit="1" customWidth="1"/>
    <col min="15113" max="15360" width="9" style="1"/>
    <col min="15361" max="15361" width="7.5" style="1" customWidth="1"/>
    <col min="15362" max="15362" width="84.375" style="1" customWidth="1"/>
    <col min="15363" max="15363" width="6.625" style="1" customWidth="1"/>
    <col min="15364" max="15364" width="9.75" style="1" customWidth="1"/>
    <col min="15365" max="15365" width="9.125" style="1" customWidth="1"/>
    <col min="15366" max="15367" width="9" style="1"/>
    <col min="15368" max="15368" width="9.875" style="1" bestFit="1" customWidth="1"/>
    <col min="15369" max="15616" width="9" style="1"/>
    <col min="15617" max="15617" width="7.5" style="1" customWidth="1"/>
    <col min="15618" max="15618" width="84.375" style="1" customWidth="1"/>
    <col min="15619" max="15619" width="6.625" style="1" customWidth="1"/>
    <col min="15620" max="15620" width="9.75" style="1" customWidth="1"/>
    <col min="15621" max="15621" width="9.125" style="1" customWidth="1"/>
    <col min="15622" max="15623" width="9" style="1"/>
    <col min="15624" max="15624" width="9.875" style="1" bestFit="1" customWidth="1"/>
    <col min="15625" max="15872" width="9" style="1"/>
    <col min="15873" max="15873" width="7.5" style="1" customWidth="1"/>
    <col min="15874" max="15874" width="84.375" style="1" customWidth="1"/>
    <col min="15875" max="15875" width="6.625" style="1" customWidth="1"/>
    <col min="15876" max="15876" width="9.75" style="1" customWidth="1"/>
    <col min="15877" max="15877" width="9.125" style="1" customWidth="1"/>
    <col min="15878" max="15879" width="9" style="1"/>
    <col min="15880" max="15880" width="9.875" style="1" bestFit="1" customWidth="1"/>
    <col min="15881" max="16128" width="9" style="1"/>
    <col min="16129" max="16129" width="7.5" style="1" customWidth="1"/>
    <col min="16130" max="16130" width="84.375" style="1" customWidth="1"/>
    <col min="16131" max="16131" width="6.625" style="1" customWidth="1"/>
    <col min="16132" max="16132" width="9.75" style="1" customWidth="1"/>
    <col min="16133" max="16133" width="9.125" style="1" customWidth="1"/>
    <col min="16134" max="16135" width="9" style="1"/>
    <col min="16136" max="16136" width="9.875" style="1" bestFit="1" customWidth="1"/>
    <col min="16137" max="16384" width="9" style="1"/>
  </cols>
  <sheetData>
    <row r="1" spans="1:10" ht="24" customHeight="1" x14ac:dyDescent="0.15">
      <c r="A1" s="81" t="s">
        <v>155</v>
      </c>
      <c r="D1" s="126">
        <v>38773</v>
      </c>
      <c r="E1" s="126"/>
    </row>
    <row r="2" spans="1:10" ht="21.75" customHeight="1" x14ac:dyDescent="0.15">
      <c r="A2" s="53" t="s">
        <v>230</v>
      </c>
      <c r="B2" s="53" t="s">
        <v>231</v>
      </c>
      <c r="C2" s="1" t="s">
        <v>158</v>
      </c>
      <c r="E2" s="82"/>
    </row>
    <row r="3" spans="1:10" ht="18" customHeight="1" x14ac:dyDescent="0.15">
      <c r="A3" s="48"/>
      <c r="B3" s="66" t="s">
        <v>127</v>
      </c>
      <c r="D3" s="67"/>
      <c r="E3" s="67" t="str">
        <f>"仕上り"&amp;E38&amp;"割"</f>
        <v>仕上り2割</v>
      </c>
      <c r="J3" s="83"/>
    </row>
    <row r="4" spans="1:10" ht="18" customHeight="1" x14ac:dyDescent="0.15">
      <c r="A4" s="21" t="s">
        <v>4</v>
      </c>
      <c r="B4" s="21" t="s">
        <v>5</v>
      </c>
      <c r="C4" s="21" t="s">
        <v>7</v>
      </c>
      <c r="D4" s="84"/>
      <c r="E4" s="68" t="str">
        <f>"下地"&amp;E37&amp;"割"</f>
        <v>下地2割</v>
      </c>
    </row>
    <row r="5" spans="1:10" ht="18" customHeight="1" x14ac:dyDescent="0.15">
      <c r="A5" s="21" t="s">
        <v>159</v>
      </c>
      <c r="B5" s="14" t="s">
        <v>160</v>
      </c>
      <c r="C5" s="69" t="s">
        <v>161</v>
      </c>
      <c r="D5" s="72"/>
      <c r="E5" s="72">
        <f>(E20+E23)*(E11-E12)*(1/2)*E9+(E23+E21)*E12*(1/2)*E8-(E39+E21)*(1/2)*E12*E8-E39*E39*TAN(E29*PI()/180)*(1/2)*E9-E18*E18/TAN(E28*PI()/180)*(1/2)*E9</f>
        <v>150.22865679523125</v>
      </c>
    </row>
    <row r="6" spans="1:10" ht="18" customHeight="1" x14ac:dyDescent="0.15">
      <c r="A6" s="21" t="s">
        <v>162</v>
      </c>
      <c r="B6" s="14" t="s">
        <v>163</v>
      </c>
      <c r="C6" s="69" t="s">
        <v>161</v>
      </c>
      <c r="D6" s="72"/>
      <c r="E6" s="72">
        <f>(E39+E21)*E12/2*E8+E39*E39*TAN(E29*PI()/180)*E9*(1/2)</f>
        <v>27.225000000000001</v>
      </c>
      <c r="H6" s="85"/>
    </row>
    <row r="7" spans="1:10" ht="18" customHeight="1" x14ac:dyDescent="0.15">
      <c r="A7" s="21" t="s">
        <v>164</v>
      </c>
      <c r="B7" s="14" t="s">
        <v>165</v>
      </c>
      <c r="C7" s="69" t="s">
        <v>161</v>
      </c>
      <c r="D7" s="72"/>
      <c r="E7" s="72">
        <f>E5*COS(E28*PI()/180)+E13*SIN(E28*PI()/180)-E14</f>
        <v>134.36859550504195</v>
      </c>
      <c r="H7" s="85"/>
    </row>
    <row r="8" spans="1:10" ht="18" customHeight="1" x14ac:dyDescent="0.15">
      <c r="A8" s="21" t="s">
        <v>166</v>
      </c>
      <c r="B8" s="14" t="s">
        <v>167</v>
      </c>
      <c r="C8" s="69" t="s">
        <v>168</v>
      </c>
      <c r="D8" s="72"/>
      <c r="E8" s="70">
        <v>18</v>
      </c>
      <c r="H8" s="85"/>
    </row>
    <row r="9" spans="1:10" ht="18" customHeight="1" x14ac:dyDescent="0.15">
      <c r="A9" s="86" t="s">
        <v>169</v>
      </c>
      <c r="B9" s="14" t="s">
        <v>170</v>
      </c>
      <c r="C9" s="69" t="s">
        <v>168</v>
      </c>
      <c r="D9" s="72"/>
      <c r="E9" s="70">
        <v>18</v>
      </c>
      <c r="H9" s="85"/>
    </row>
    <row r="10" spans="1:10" ht="18" customHeight="1" x14ac:dyDescent="0.15">
      <c r="A10" s="86" t="s">
        <v>171</v>
      </c>
      <c r="B10" s="14" t="s">
        <v>172</v>
      </c>
      <c r="C10" s="69" t="s">
        <v>168</v>
      </c>
      <c r="D10" s="72"/>
      <c r="E10" s="70">
        <v>10</v>
      </c>
      <c r="H10" s="85"/>
    </row>
    <row r="11" spans="1:10" ht="18" customHeight="1" x14ac:dyDescent="0.15">
      <c r="A11" s="21" t="s">
        <v>128</v>
      </c>
      <c r="B11" s="14" t="s">
        <v>129</v>
      </c>
      <c r="C11" s="69" t="s">
        <v>34</v>
      </c>
      <c r="D11" s="72"/>
      <c r="E11" s="70">
        <v>4.5</v>
      </c>
      <c r="H11" s="85"/>
    </row>
    <row r="12" spans="1:10" ht="18" customHeight="1" x14ac:dyDescent="0.15">
      <c r="A12" s="21" t="s">
        <v>130</v>
      </c>
      <c r="B12" s="14" t="s">
        <v>232</v>
      </c>
      <c r="C12" s="69" t="s">
        <v>34</v>
      </c>
      <c r="D12" s="72"/>
      <c r="E12" s="70">
        <v>9.9999999999999995E-7</v>
      </c>
      <c r="H12" s="85"/>
    </row>
    <row r="13" spans="1:10" ht="18" customHeight="1" x14ac:dyDescent="0.15">
      <c r="A13" s="21" t="s">
        <v>173</v>
      </c>
      <c r="B13" s="14" t="s">
        <v>174</v>
      </c>
      <c r="C13" s="87" t="s">
        <v>175</v>
      </c>
      <c r="D13" s="72"/>
      <c r="E13" s="72">
        <f>IF(E12=0,0,(E10/2)*COS(E28*PI()/180)*COS(E28*PI()/180)*(E27-E39*TAN(E29*PI()/180))*(E27-E39*TAN(E29*PI()/180)))</f>
        <v>3.9999999993418671E-12</v>
      </c>
      <c r="H13" s="85"/>
    </row>
    <row r="14" spans="1:10" ht="18" customHeight="1" x14ac:dyDescent="0.15">
      <c r="A14" s="21" t="s">
        <v>176</v>
      </c>
      <c r="B14" s="14" t="s">
        <v>177</v>
      </c>
      <c r="C14" s="87" t="s">
        <v>175</v>
      </c>
      <c r="D14" s="72"/>
      <c r="E14" s="72">
        <f>IF(E12=0,0,E10*COS(E28*PI()/180)*COS(E28*PI()/180)*(1/2)*(E27-E39*TAN(E29*PI()/180))*(E23-E39)/COS(E28*PI()/180))</f>
        <v>8.9442719085275286E-12</v>
      </c>
      <c r="H14" s="85"/>
    </row>
    <row r="15" spans="1:10" ht="18" customHeight="1" x14ac:dyDescent="0.15">
      <c r="A15" s="21" t="s">
        <v>178</v>
      </c>
      <c r="B15" s="14" t="s">
        <v>179</v>
      </c>
      <c r="C15" s="87" t="s">
        <v>175</v>
      </c>
      <c r="D15" s="88"/>
      <c r="E15" s="88">
        <f>IF(E12=0,0,E13*E21/(E27-E39*TAN(E29*PI()/180)))</f>
        <v>9.8386991001896778E-6</v>
      </c>
    </row>
    <row r="16" spans="1:10" ht="18" customHeight="1" x14ac:dyDescent="0.15">
      <c r="A16" s="21" t="s">
        <v>180</v>
      </c>
      <c r="B16" s="89" t="s">
        <v>181</v>
      </c>
      <c r="C16" s="69" t="s">
        <v>34</v>
      </c>
      <c r="D16" s="88"/>
      <c r="E16" s="24">
        <f>ROUND(E17*SIN(E28*PI()/180)+E18*COS(E28*PI()/180)-E11,3)</f>
        <v>0.64300000000000002</v>
      </c>
    </row>
    <row r="17" spans="1:5" ht="18" customHeight="1" x14ac:dyDescent="0.15">
      <c r="A17" s="21" t="s">
        <v>182</v>
      </c>
      <c r="B17" s="89" t="s">
        <v>183</v>
      </c>
      <c r="C17" s="69" t="s">
        <v>34</v>
      </c>
      <c r="D17" s="72"/>
      <c r="E17" s="91">
        <v>9.3000000000000007</v>
      </c>
    </row>
    <row r="18" spans="1:5" ht="18" customHeight="1" x14ac:dyDescent="0.15">
      <c r="A18" s="21" t="s">
        <v>133</v>
      </c>
      <c r="B18" s="14" t="s">
        <v>134</v>
      </c>
      <c r="C18" s="69" t="s">
        <v>34</v>
      </c>
      <c r="D18" s="72"/>
      <c r="E18" s="70">
        <v>1.1000000000000001</v>
      </c>
    </row>
    <row r="19" spans="1:5" ht="18" customHeight="1" x14ac:dyDescent="0.25">
      <c r="A19" s="21" t="s">
        <v>184</v>
      </c>
      <c r="B19" s="14" t="s">
        <v>185</v>
      </c>
      <c r="C19" s="69" t="s">
        <v>34</v>
      </c>
      <c r="D19" s="72"/>
      <c r="E19" s="72">
        <f>(SIN(E28*PI()/180-E29*PI()/180)*E11)/(SIN(E28*PI()/180)*SIN(E29*PI()/180))</f>
        <v>0</v>
      </c>
    </row>
    <row r="20" spans="1:5" ht="18" customHeight="1" x14ac:dyDescent="0.25">
      <c r="A20" s="21" t="s">
        <v>186</v>
      </c>
      <c r="B20" s="14" t="s">
        <v>187</v>
      </c>
      <c r="C20" s="69" t="s">
        <v>34</v>
      </c>
      <c r="D20" s="72"/>
      <c r="E20" s="72">
        <f>E18/SIN(E28*PI()/180)</f>
        <v>2.4596747752497685</v>
      </c>
    </row>
    <row r="21" spans="1:5" ht="18" customHeight="1" x14ac:dyDescent="0.25">
      <c r="A21" s="21" t="s">
        <v>188</v>
      </c>
      <c r="B21" s="14" t="s">
        <v>189</v>
      </c>
      <c r="C21" s="69" t="s">
        <v>34</v>
      </c>
      <c r="D21" s="72"/>
      <c r="E21" s="72">
        <f>E18/SIN(E28*PI()/180)+((SIN(E28*PI()/180-E29*PI()/180))*E11)/(SIN(E28*PI()/180)*SIN(E29*PI()/180))</f>
        <v>2.4596747752497685</v>
      </c>
    </row>
    <row r="22" spans="1:5" ht="18" customHeight="1" x14ac:dyDescent="0.25">
      <c r="A22" s="21" t="s">
        <v>190</v>
      </c>
      <c r="B22" s="14" t="s">
        <v>191</v>
      </c>
      <c r="C22" s="69" t="s">
        <v>34</v>
      </c>
      <c r="D22" s="72"/>
      <c r="E22" s="72">
        <f>E20</f>
        <v>2.4596747752497685</v>
      </c>
    </row>
    <row r="23" spans="1:5" ht="18" customHeight="1" x14ac:dyDescent="0.25">
      <c r="A23" s="21" t="s">
        <v>192</v>
      </c>
      <c r="B23" s="14" t="s">
        <v>193</v>
      </c>
      <c r="C23" s="69" t="s">
        <v>34</v>
      </c>
      <c r="D23" s="72"/>
      <c r="E23" s="72">
        <f>E18/SIN(E28*PI()/180)+(E11-E12)*((1/TAN(E29*PI()/180))-1/TAN(E28*PI()/180))</f>
        <v>2.4596747752497685</v>
      </c>
    </row>
    <row r="24" spans="1:5" ht="18" customHeight="1" x14ac:dyDescent="0.15">
      <c r="A24" s="21" t="s">
        <v>194</v>
      </c>
      <c r="B24" s="14" t="s">
        <v>195</v>
      </c>
      <c r="C24" s="69" t="s">
        <v>34</v>
      </c>
      <c r="D24" s="72"/>
      <c r="E24" s="72">
        <f>(E17*TAN((E28-E29)*PI()/180)+E18)*SIN(E28*PI()/180)</f>
        <v>0.49193495504995383</v>
      </c>
    </row>
    <row r="25" spans="1:5" ht="18" customHeight="1" x14ac:dyDescent="0.15">
      <c r="A25" s="21" t="s">
        <v>196</v>
      </c>
      <c r="B25" s="14" t="s">
        <v>197</v>
      </c>
      <c r="C25" s="69" t="s">
        <v>34</v>
      </c>
      <c r="D25" s="72"/>
      <c r="E25" s="72">
        <f>E20+E16/TAN(E28*PI()/180)</f>
        <v>3.7456747752497686</v>
      </c>
    </row>
    <row r="26" spans="1:5" ht="18" customHeight="1" x14ac:dyDescent="0.15">
      <c r="A26" s="21" t="s">
        <v>198</v>
      </c>
      <c r="B26" s="14" t="s">
        <v>199</v>
      </c>
      <c r="C26" s="69" t="s">
        <v>34</v>
      </c>
      <c r="D26" s="72"/>
      <c r="E26" s="72">
        <f>E21-E24-E16/TAN(E28*PI()/180)</f>
        <v>0.68173982019981461</v>
      </c>
    </row>
    <row r="27" spans="1:5" ht="18" customHeight="1" x14ac:dyDescent="0.15">
      <c r="A27" s="21" t="s">
        <v>138</v>
      </c>
      <c r="B27" s="14" t="s">
        <v>139</v>
      </c>
      <c r="C27" s="69" t="s">
        <v>34</v>
      </c>
      <c r="D27" s="72"/>
      <c r="E27" s="74">
        <f>E11*(1-(TAN(E29*PI()/180)/TAN(E28*PI()/180)))+(TAN(E29*PI()/180)/SIN(E28*PI()/180))*E18</f>
        <v>1.2298373876248843</v>
      </c>
    </row>
    <row r="28" spans="1:5" ht="18" customHeight="1" x14ac:dyDescent="0.15">
      <c r="A28" s="21" t="s">
        <v>135</v>
      </c>
      <c r="B28" s="14" t="s">
        <v>136</v>
      </c>
      <c r="C28" s="69" t="s">
        <v>16</v>
      </c>
      <c r="D28" s="72"/>
      <c r="E28" s="74">
        <f>ATAN(1/E37)*180/PI()</f>
        <v>26.56505117707799</v>
      </c>
    </row>
    <row r="29" spans="1:5" ht="18" customHeight="1" x14ac:dyDescent="0.15">
      <c r="A29" s="21" t="s">
        <v>30</v>
      </c>
      <c r="B29" s="14" t="s">
        <v>137</v>
      </c>
      <c r="C29" s="73" t="s">
        <v>16</v>
      </c>
      <c r="D29" s="74"/>
      <c r="E29" s="74">
        <f>ATAN(1/E38)*180/PI()</f>
        <v>26.56505117707799</v>
      </c>
    </row>
    <row r="30" spans="1:5" ht="18" customHeight="1" x14ac:dyDescent="0.15">
      <c r="A30" s="21" t="s">
        <v>200</v>
      </c>
      <c r="B30" s="14" t="s">
        <v>201</v>
      </c>
      <c r="C30" s="73" t="s">
        <v>16</v>
      </c>
      <c r="D30" s="92"/>
      <c r="E30" s="93">
        <v>30</v>
      </c>
    </row>
    <row r="31" spans="1:5" ht="18" customHeight="1" x14ac:dyDescent="0.15">
      <c r="A31" s="21" t="s">
        <v>202</v>
      </c>
      <c r="B31" s="94" t="s">
        <v>203</v>
      </c>
      <c r="C31" s="95" t="s">
        <v>16</v>
      </c>
      <c r="D31" s="72"/>
      <c r="E31" s="70">
        <v>27</v>
      </c>
    </row>
    <row r="32" spans="1:5" ht="18" customHeight="1" x14ac:dyDescent="0.15">
      <c r="A32" s="21" t="s">
        <v>204</v>
      </c>
      <c r="B32" s="14" t="s">
        <v>205</v>
      </c>
      <c r="C32" s="69" t="s">
        <v>161</v>
      </c>
      <c r="D32" s="96"/>
      <c r="E32" s="96">
        <f>E33*(E17-E16/SIN(E28*PI()/180))</f>
        <v>0</v>
      </c>
    </row>
    <row r="33" spans="1:6" ht="18" customHeight="1" x14ac:dyDescent="0.15">
      <c r="A33" s="21" t="s">
        <v>206</v>
      </c>
      <c r="B33" s="14" t="s">
        <v>207</v>
      </c>
      <c r="C33" s="69" t="s">
        <v>208</v>
      </c>
      <c r="D33" s="72"/>
      <c r="E33" s="70">
        <v>0</v>
      </c>
    </row>
    <row r="34" spans="1:6" ht="18" customHeight="1" x14ac:dyDescent="0.15">
      <c r="A34" s="21" t="s">
        <v>12</v>
      </c>
      <c r="B34" s="14" t="s">
        <v>209</v>
      </c>
      <c r="C34" s="69" t="s">
        <v>161</v>
      </c>
      <c r="D34" s="72"/>
      <c r="E34" s="72">
        <f>E35*E21</f>
        <v>0</v>
      </c>
    </row>
    <row r="35" spans="1:6" ht="18" customHeight="1" x14ac:dyDescent="0.15">
      <c r="A35" s="21" t="s">
        <v>43</v>
      </c>
      <c r="B35" s="14" t="s">
        <v>210</v>
      </c>
      <c r="C35" s="69" t="s">
        <v>208</v>
      </c>
      <c r="D35" s="72"/>
      <c r="E35" s="70">
        <v>0</v>
      </c>
    </row>
    <row r="36" spans="1:6" ht="18" customHeight="1" x14ac:dyDescent="0.15">
      <c r="A36" s="97" t="s">
        <v>84</v>
      </c>
      <c r="B36" s="98" t="s">
        <v>233</v>
      </c>
      <c r="C36" s="99"/>
      <c r="D36" s="72"/>
      <c r="E36" s="100">
        <f>(-E47+SQRT(E47*E47-4*E44*E51))/(2*E44)</f>
        <v>1.3516604169561053</v>
      </c>
      <c r="F36" s="101" t="str">
        <f>IF(E36&lt;1.5,"OUT","OK")</f>
        <v>OUT</v>
      </c>
    </row>
    <row r="37" spans="1:6" ht="18" customHeight="1" x14ac:dyDescent="0.15">
      <c r="A37" s="21" t="s">
        <v>140</v>
      </c>
      <c r="B37" s="14" t="s">
        <v>141</v>
      </c>
      <c r="C37" s="75" t="s">
        <v>23</v>
      </c>
      <c r="D37" s="102"/>
      <c r="E37" s="76">
        <v>2</v>
      </c>
    </row>
    <row r="38" spans="1:6" ht="18" customHeight="1" x14ac:dyDescent="0.15">
      <c r="A38" s="21" t="s">
        <v>142</v>
      </c>
      <c r="B38" s="14" t="s">
        <v>143</v>
      </c>
      <c r="C38" s="75" t="s">
        <v>23</v>
      </c>
      <c r="D38" s="103"/>
      <c r="E38" s="104">
        <v>2</v>
      </c>
    </row>
    <row r="39" spans="1:6" ht="18" customHeight="1" x14ac:dyDescent="0.15">
      <c r="A39" s="23" t="s">
        <v>234</v>
      </c>
      <c r="B39" s="14" t="s">
        <v>235</v>
      </c>
      <c r="C39" s="69" t="s">
        <v>34</v>
      </c>
      <c r="D39" s="72"/>
      <c r="E39" s="74">
        <f>(E27-E12)/TAN(E29*PI()/180)</f>
        <v>2.4596727752497687</v>
      </c>
    </row>
    <row r="40" spans="1:6" ht="18" customHeight="1" x14ac:dyDescent="0.15">
      <c r="A40" s="21" t="s">
        <v>212</v>
      </c>
      <c r="B40" s="14" t="s">
        <v>213</v>
      </c>
      <c r="C40" s="75"/>
      <c r="D40" s="103"/>
      <c r="E40" s="103">
        <f>ROUND(E12/E11,3)</f>
        <v>0</v>
      </c>
    </row>
    <row r="41" spans="1:6" ht="19.5" x14ac:dyDescent="0.4">
      <c r="A41" s="115"/>
      <c r="B41" s="116" t="s">
        <v>214</v>
      </c>
      <c r="C41" s="117"/>
      <c r="D41" s="118"/>
      <c r="E41" s="118"/>
    </row>
    <row r="42" spans="1:6" ht="19.5" customHeight="1" x14ac:dyDescent="0.15">
      <c r="A42" s="38"/>
      <c r="B42" s="106" t="s">
        <v>215</v>
      </c>
      <c r="C42" s="106" t="s">
        <v>150</v>
      </c>
      <c r="D42" s="1" t="s">
        <v>216</v>
      </c>
      <c r="F42" s="1" t="s">
        <v>151</v>
      </c>
    </row>
    <row r="43" spans="1:6" ht="19.5" customHeight="1" x14ac:dyDescent="0.15">
      <c r="A43" s="119"/>
      <c r="B43" s="120"/>
      <c r="C43" s="120"/>
      <c r="D43" s="48" t="s">
        <v>236</v>
      </c>
      <c r="E43" s="48"/>
    </row>
    <row r="44" spans="1:6" x14ac:dyDescent="0.15">
      <c r="A44" s="23" t="s">
        <v>218</v>
      </c>
      <c r="B44" s="109" t="s">
        <v>219</v>
      </c>
      <c r="C44" s="118"/>
      <c r="D44" s="107"/>
      <c r="E44" s="107">
        <f>E5*COS(((E29+E28)*PI()/180)/2)-E7*COS(E28*PI()/180)*COS(((E29+E28)*PI()/180)/2)-E14*COS(E28*PI()/180)*COS(((E29+E28)*PI()/180)/2)+E10*COS(E28*PI()/180)*COS(E28*PI()/180)*(1/2)*(E27-E39*TAN(E29*PI()/180))*(E27-E39*TAN(E29*PI()/180))*SIN(((E29+E28)*PI()/180)/2)</f>
        <v>26.873719101010188</v>
      </c>
    </row>
    <row r="45" spans="1:6" ht="15.75" x14ac:dyDescent="0.15">
      <c r="A45" s="108"/>
      <c r="B45" s="109" t="s">
        <v>237</v>
      </c>
      <c r="C45" s="121"/>
      <c r="D45" s="109"/>
      <c r="E45" s="109"/>
    </row>
    <row r="46" spans="1:6" x14ac:dyDescent="0.15">
      <c r="A46" s="108"/>
      <c r="C46" s="121"/>
      <c r="D46" s="122"/>
      <c r="E46" s="122"/>
    </row>
    <row r="47" spans="1:6" x14ac:dyDescent="0.15">
      <c r="A47" s="23" t="s">
        <v>221</v>
      </c>
      <c r="B47" s="111" t="s">
        <v>238</v>
      </c>
      <c r="C47" s="111"/>
      <c r="D47" s="92"/>
      <c r="E47" s="92">
        <f>-E5*SIN(((E29+E28)*PI()/180)/2)*TAN(E30*PI()/180)+E7*COS(E28*PI()/180)*SIN(((E29+E28)*PI()/180)/2)*TAN(E30*PI()/180)-E7*TAN(E31*PI()/180)*SIN(E28*PI()/180)*COS(((E29+E28)*PI()/180)/2)-E32*SIN(E28*PI()/180)*COS(((E29+E28)*PI()/180)/2)+E14*COS(E28*PI()/180)*SIN(((E29+E28)*PI()/180)/2)*TAN(E30*PI()/180)-E8*(E39+E21)*E12*TAN(E30*PI()/180)*(1/2)*SIN(((E29+E28)*PI()/180)/2)-E39*E39*TAN(E29*PI()/180)*(1/2)*E9*TAN(E30*PI()/180)*SIN(((E29+E28)*PI()/180)/2)+E21*TAN(E30*PI()/180)*E13/(E27-E39*TAN(E29*PI()/180))*SIN(((E29+E28)*PI()/180)/2)-E34*SIN(((E29+E28)*PI()/180)/2)</f>
        <v>-42.172924320628695</v>
      </c>
    </row>
    <row r="48" spans="1:6" x14ac:dyDescent="0.15">
      <c r="A48" s="108"/>
      <c r="B48" s="112" t="s">
        <v>239</v>
      </c>
      <c r="C48" s="112"/>
      <c r="D48" s="113"/>
      <c r="E48" s="113"/>
    </row>
    <row r="49" spans="1:5" x14ac:dyDescent="0.15">
      <c r="A49" s="108"/>
      <c r="B49" s="109" t="s">
        <v>240</v>
      </c>
      <c r="C49" s="109"/>
      <c r="D49" s="109"/>
      <c r="E49" s="109"/>
    </row>
    <row r="50" spans="1:5" ht="18.75" x14ac:dyDescent="0.4">
      <c r="A50" s="64"/>
      <c r="B50" s="65" t="s">
        <v>241</v>
      </c>
      <c r="C50" s="65"/>
      <c r="D50" s="65"/>
      <c r="E50" s="65"/>
    </row>
    <row r="51" spans="1:5" x14ac:dyDescent="0.15">
      <c r="A51" s="23" t="s">
        <v>226</v>
      </c>
      <c r="B51" s="24" t="s">
        <v>242</v>
      </c>
      <c r="C51" s="24"/>
      <c r="D51" s="107"/>
      <c r="E51" s="107">
        <f>E7*TAN(E31*PI()/180)*SIN(E28*PI()/180)*SIN(((E29+E28)*PI()/180)/2)*TAN(E30*PI()/180)+E32*SIN(E28*PI()/180)*SIN(((E29+E28)*PI()/180)/2)*TAN(E30*PI()/180)</f>
        <v>7.905567056515924</v>
      </c>
    </row>
    <row r="52" spans="1:5" x14ac:dyDescent="0.15">
      <c r="A52" s="64"/>
      <c r="B52" s="65"/>
      <c r="C52" s="65"/>
      <c r="D52" s="65"/>
      <c r="E52" s="65"/>
    </row>
    <row r="53" spans="1:5" x14ac:dyDescent="0.15">
      <c r="A53" s="23" t="s">
        <v>228</v>
      </c>
      <c r="B53" s="24" t="s">
        <v>243</v>
      </c>
      <c r="C53" s="24"/>
      <c r="D53" s="107"/>
      <c r="E53" s="24">
        <f>ROUND(E17*SIN(E28*PI()/180)+E18*COS(E28*PI()/180)-E11,3)</f>
        <v>0.64300000000000002</v>
      </c>
    </row>
    <row r="54" spans="1:5" ht="20.25" customHeight="1" x14ac:dyDescent="0.15">
      <c r="A54" s="108"/>
      <c r="B54" s="109"/>
      <c r="C54" s="109"/>
      <c r="D54" s="110"/>
      <c r="E54" s="110"/>
    </row>
    <row r="55" spans="1:5" x14ac:dyDescent="0.15">
      <c r="A55" s="64"/>
      <c r="B55" s="65"/>
      <c r="C55" s="65"/>
      <c r="D55" s="65"/>
      <c r="E55" s="65"/>
    </row>
  </sheetData>
  <mergeCells count="1">
    <mergeCell ref="D1:E1"/>
  </mergeCells>
  <phoneticPr fontId="2"/>
  <pageMargins left="0.78740157480314965" right="0.19685039370078741" top="0.98425196850393704" bottom="0.98425196850393704" header="0.51181102362204722" footer="0.51181102362204722"/>
  <pageSetup paperSize="9" scale="74" orientation="portrait" horizont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BF0CC-15D0-4662-8D90-25C4162343A3}">
  <sheetPr>
    <tabColor theme="4" tint="0.39997558519241921"/>
  </sheetPr>
  <dimension ref="A1:J37"/>
  <sheetViews>
    <sheetView view="pageBreakPreview" topLeftCell="A22" zoomScaleNormal="100" workbookViewId="0">
      <selection activeCell="E42" sqref="E42"/>
    </sheetView>
  </sheetViews>
  <sheetFormatPr defaultRowHeight="13.5" x14ac:dyDescent="0.15"/>
  <cols>
    <col min="1" max="1" width="7.5" style="1" customWidth="1"/>
    <col min="2" max="2" width="51.375" style="1" customWidth="1"/>
    <col min="3" max="3" width="6.625" style="1" customWidth="1"/>
    <col min="4" max="4" width="9.875" style="1" customWidth="1"/>
    <col min="5" max="5" width="10.125" style="1" customWidth="1"/>
    <col min="6" max="7" width="9" style="1"/>
    <col min="8" max="8" width="9.875" style="1" bestFit="1" customWidth="1"/>
    <col min="9" max="256" width="9" style="1"/>
    <col min="257" max="257" width="7.5" style="1" customWidth="1"/>
    <col min="258" max="258" width="51.375" style="1" customWidth="1"/>
    <col min="259" max="259" width="6.625" style="1" customWidth="1"/>
    <col min="260" max="260" width="9.875" style="1" customWidth="1"/>
    <col min="261" max="261" width="10.125" style="1" customWidth="1"/>
    <col min="262" max="263" width="9" style="1"/>
    <col min="264" max="264" width="9.875" style="1" bestFit="1" customWidth="1"/>
    <col min="265" max="512" width="9" style="1"/>
    <col min="513" max="513" width="7.5" style="1" customWidth="1"/>
    <col min="514" max="514" width="51.375" style="1" customWidth="1"/>
    <col min="515" max="515" width="6.625" style="1" customWidth="1"/>
    <col min="516" max="516" width="9.875" style="1" customWidth="1"/>
    <col min="517" max="517" width="10.125" style="1" customWidth="1"/>
    <col min="518" max="519" width="9" style="1"/>
    <col min="520" max="520" width="9.875" style="1" bestFit="1" customWidth="1"/>
    <col min="521" max="768" width="9" style="1"/>
    <col min="769" max="769" width="7.5" style="1" customWidth="1"/>
    <col min="770" max="770" width="51.375" style="1" customWidth="1"/>
    <col min="771" max="771" width="6.625" style="1" customWidth="1"/>
    <col min="772" max="772" width="9.875" style="1" customWidth="1"/>
    <col min="773" max="773" width="10.125" style="1" customWidth="1"/>
    <col min="774" max="775" width="9" style="1"/>
    <col min="776" max="776" width="9.875" style="1" bestFit="1" customWidth="1"/>
    <col min="777" max="1024" width="9" style="1"/>
    <col min="1025" max="1025" width="7.5" style="1" customWidth="1"/>
    <col min="1026" max="1026" width="51.375" style="1" customWidth="1"/>
    <col min="1027" max="1027" width="6.625" style="1" customWidth="1"/>
    <col min="1028" max="1028" width="9.875" style="1" customWidth="1"/>
    <col min="1029" max="1029" width="10.125" style="1" customWidth="1"/>
    <col min="1030" max="1031" width="9" style="1"/>
    <col min="1032" max="1032" width="9.875" style="1" bestFit="1" customWidth="1"/>
    <col min="1033" max="1280" width="9" style="1"/>
    <col min="1281" max="1281" width="7.5" style="1" customWidth="1"/>
    <col min="1282" max="1282" width="51.375" style="1" customWidth="1"/>
    <col min="1283" max="1283" width="6.625" style="1" customWidth="1"/>
    <col min="1284" max="1284" width="9.875" style="1" customWidth="1"/>
    <col min="1285" max="1285" width="10.125" style="1" customWidth="1"/>
    <col min="1286" max="1287" width="9" style="1"/>
    <col min="1288" max="1288" width="9.875" style="1" bestFit="1" customWidth="1"/>
    <col min="1289" max="1536" width="9" style="1"/>
    <col min="1537" max="1537" width="7.5" style="1" customWidth="1"/>
    <col min="1538" max="1538" width="51.375" style="1" customWidth="1"/>
    <col min="1539" max="1539" width="6.625" style="1" customWidth="1"/>
    <col min="1540" max="1540" width="9.875" style="1" customWidth="1"/>
    <col min="1541" max="1541" width="10.125" style="1" customWidth="1"/>
    <col min="1542" max="1543" width="9" style="1"/>
    <col min="1544" max="1544" width="9.875" style="1" bestFit="1" customWidth="1"/>
    <col min="1545" max="1792" width="9" style="1"/>
    <col min="1793" max="1793" width="7.5" style="1" customWidth="1"/>
    <col min="1794" max="1794" width="51.375" style="1" customWidth="1"/>
    <col min="1795" max="1795" width="6.625" style="1" customWidth="1"/>
    <col min="1796" max="1796" width="9.875" style="1" customWidth="1"/>
    <col min="1797" max="1797" width="10.125" style="1" customWidth="1"/>
    <col min="1798" max="1799" width="9" style="1"/>
    <col min="1800" max="1800" width="9.875" style="1" bestFit="1" customWidth="1"/>
    <col min="1801" max="2048" width="9" style="1"/>
    <col min="2049" max="2049" width="7.5" style="1" customWidth="1"/>
    <col min="2050" max="2050" width="51.375" style="1" customWidth="1"/>
    <col min="2051" max="2051" width="6.625" style="1" customWidth="1"/>
    <col min="2052" max="2052" width="9.875" style="1" customWidth="1"/>
    <col min="2053" max="2053" width="10.125" style="1" customWidth="1"/>
    <col min="2054" max="2055" width="9" style="1"/>
    <col min="2056" max="2056" width="9.875" style="1" bestFit="1" customWidth="1"/>
    <col min="2057" max="2304" width="9" style="1"/>
    <col min="2305" max="2305" width="7.5" style="1" customWidth="1"/>
    <col min="2306" max="2306" width="51.375" style="1" customWidth="1"/>
    <col min="2307" max="2307" width="6.625" style="1" customWidth="1"/>
    <col min="2308" max="2308" width="9.875" style="1" customWidth="1"/>
    <col min="2309" max="2309" width="10.125" style="1" customWidth="1"/>
    <col min="2310" max="2311" width="9" style="1"/>
    <col min="2312" max="2312" width="9.875" style="1" bestFit="1" customWidth="1"/>
    <col min="2313" max="2560" width="9" style="1"/>
    <col min="2561" max="2561" width="7.5" style="1" customWidth="1"/>
    <col min="2562" max="2562" width="51.375" style="1" customWidth="1"/>
    <col min="2563" max="2563" width="6.625" style="1" customWidth="1"/>
    <col min="2564" max="2564" width="9.875" style="1" customWidth="1"/>
    <col min="2565" max="2565" width="10.125" style="1" customWidth="1"/>
    <col min="2566" max="2567" width="9" style="1"/>
    <col min="2568" max="2568" width="9.875" style="1" bestFit="1" customWidth="1"/>
    <col min="2569" max="2816" width="9" style="1"/>
    <col min="2817" max="2817" width="7.5" style="1" customWidth="1"/>
    <col min="2818" max="2818" width="51.375" style="1" customWidth="1"/>
    <col min="2819" max="2819" width="6.625" style="1" customWidth="1"/>
    <col min="2820" max="2820" width="9.875" style="1" customWidth="1"/>
    <col min="2821" max="2821" width="10.125" style="1" customWidth="1"/>
    <col min="2822" max="2823" width="9" style="1"/>
    <col min="2824" max="2824" width="9.875" style="1" bestFit="1" customWidth="1"/>
    <col min="2825" max="3072" width="9" style="1"/>
    <col min="3073" max="3073" width="7.5" style="1" customWidth="1"/>
    <col min="3074" max="3074" width="51.375" style="1" customWidth="1"/>
    <col min="3075" max="3075" width="6.625" style="1" customWidth="1"/>
    <col min="3076" max="3076" width="9.875" style="1" customWidth="1"/>
    <col min="3077" max="3077" width="10.125" style="1" customWidth="1"/>
    <col min="3078" max="3079" width="9" style="1"/>
    <col min="3080" max="3080" width="9.875" style="1" bestFit="1" customWidth="1"/>
    <col min="3081" max="3328" width="9" style="1"/>
    <col min="3329" max="3329" width="7.5" style="1" customWidth="1"/>
    <col min="3330" max="3330" width="51.375" style="1" customWidth="1"/>
    <col min="3331" max="3331" width="6.625" style="1" customWidth="1"/>
    <col min="3332" max="3332" width="9.875" style="1" customWidth="1"/>
    <col min="3333" max="3333" width="10.125" style="1" customWidth="1"/>
    <col min="3334" max="3335" width="9" style="1"/>
    <col min="3336" max="3336" width="9.875" style="1" bestFit="1" customWidth="1"/>
    <col min="3337" max="3584" width="9" style="1"/>
    <col min="3585" max="3585" width="7.5" style="1" customWidth="1"/>
    <col min="3586" max="3586" width="51.375" style="1" customWidth="1"/>
    <col min="3587" max="3587" width="6.625" style="1" customWidth="1"/>
    <col min="3588" max="3588" width="9.875" style="1" customWidth="1"/>
    <col min="3589" max="3589" width="10.125" style="1" customWidth="1"/>
    <col min="3590" max="3591" width="9" style="1"/>
    <col min="3592" max="3592" width="9.875" style="1" bestFit="1" customWidth="1"/>
    <col min="3593" max="3840" width="9" style="1"/>
    <col min="3841" max="3841" width="7.5" style="1" customWidth="1"/>
    <col min="3842" max="3842" width="51.375" style="1" customWidth="1"/>
    <col min="3843" max="3843" width="6.625" style="1" customWidth="1"/>
    <col min="3844" max="3844" width="9.875" style="1" customWidth="1"/>
    <col min="3845" max="3845" width="10.125" style="1" customWidth="1"/>
    <col min="3846" max="3847" width="9" style="1"/>
    <col min="3848" max="3848" width="9.875" style="1" bestFit="1" customWidth="1"/>
    <col min="3849" max="4096" width="9" style="1"/>
    <col min="4097" max="4097" width="7.5" style="1" customWidth="1"/>
    <col min="4098" max="4098" width="51.375" style="1" customWidth="1"/>
    <col min="4099" max="4099" width="6.625" style="1" customWidth="1"/>
    <col min="4100" max="4100" width="9.875" style="1" customWidth="1"/>
    <col min="4101" max="4101" width="10.125" style="1" customWidth="1"/>
    <col min="4102" max="4103" width="9" style="1"/>
    <col min="4104" max="4104" width="9.875" style="1" bestFit="1" customWidth="1"/>
    <col min="4105" max="4352" width="9" style="1"/>
    <col min="4353" max="4353" width="7.5" style="1" customWidth="1"/>
    <col min="4354" max="4354" width="51.375" style="1" customWidth="1"/>
    <col min="4355" max="4355" width="6.625" style="1" customWidth="1"/>
    <col min="4356" max="4356" width="9.875" style="1" customWidth="1"/>
    <col min="4357" max="4357" width="10.125" style="1" customWidth="1"/>
    <col min="4358" max="4359" width="9" style="1"/>
    <col min="4360" max="4360" width="9.875" style="1" bestFit="1" customWidth="1"/>
    <col min="4361" max="4608" width="9" style="1"/>
    <col min="4609" max="4609" width="7.5" style="1" customWidth="1"/>
    <col min="4610" max="4610" width="51.375" style="1" customWidth="1"/>
    <col min="4611" max="4611" width="6.625" style="1" customWidth="1"/>
    <col min="4612" max="4612" width="9.875" style="1" customWidth="1"/>
    <col min="4613" max="4613" width="10.125" style="1" customWidth="1"/>
    <col min="4614" max="4615" width="9" style="1"/>
    <col min="4616" max="4616" width="9.875" style="1" bestFit="1" customWidth="1"/>
    <col min="4617" max="4864" width="9" style="1"/>
    <col min="4865" max="4865" width="7.5" style="1" customWidth="1"/>
    <col min="4866" max="4866" width="51.375" style="1" customWidth="1"/>
    <col min="4867" max="4867" width="6.625" style="1" customWidth="1"/>
    <col min="4868" max="4868" width="9.875" style="1" customWidth="1"/>
    <col min="4869" max="4869" width="10.125" style="1" customWidth="1"/>
    <col min="4870" max="4871" width="9" style="1"/>
    <col min="4872" max="4872" width="9.875" style="1" bestFit="1" customWidth="1"/>
    <col min="4873" max="5120" width="9" style="1"/>
    <col min="5121" max="5121" width="7.5" style="1" customWidth="1"/>
    <col min="5122" max="5122" width="51.375" style="1" customWidth="1"/>
    <col min="5123" max="5123" width="6.625" style="1" customWidth="1"/>
    <col min="5124" max="5124" width="9.875" style="1" customWidth="1"/>
    <col min="5125" max="5125" width="10.125" style="1" customWidth="1"/>
    <col min="5126" max="5127" width="9" style="1"/>
    <col min="5128" max="5128" width="9.875" style="1" bestFit="1" customWidth="1"/>
    <col min="5129" max="5376" width="9" style="1"/>
    <col min="5377" max="5377" width="7.5" style="1" customWidth="1"/>
    <col min="5378" max="5378" width="51.375" style="1" customWidth="1"/>
    <col min="5379" max="5379" width="6.625" style="1" customWidth="1"/>
    <col min="5380" max="5380" width="9.875" style="1" customWidth="1"/>
    <col min="5381" max="5381" width="10.125" style="1" customWidth="1"/>
    <col min="5382" max="5383" width="9" style="1"/>
    <col min="5384" max="5384" width="9.875" style="1" bestFit="1" customWidth="1"/>
    <col min="5385" max="5632" width="9" style="1"/>
    <col min="5633" max="5633" width="7.5" style="1" customWidth="1"/>
    <col min="5634" max="5634" width="51.375" style="1" customWidth="1"/>
    <col min="5635" max="5635" width="6.625" style="1" customWidth="1"/>
    <col min="5636" max="5636" width="9.875" style="1" customWidth="1"/>
    <col min="5637" max="5637" width="10.125" style="1" customWidth="1"/>
    <col min="5638" max="5639" width="9" style="1"/>
    <col min="5640" max="5640" width="9.875" style="1" bestFit="1" customWidth="1"/>
    <col min="5641" max="5888" width="9" style="1"/>
    <col min="5889" max="5889" width="7.5" style="1" customWidth="1"/>
    <col min="5890" max="5890" width="51.375" style="1" customWidth="1"/>
    <col min="5891" max="5891" width="6.625" style="1" customWidth="1"/>
    <col min="5892" max="5892" width="9.875" style="1" customWidth="1"/>
    <col min="5893" max="5893" width="10.125" style="1" customWidth="1"/>
    <col min="5894" max="5895" width="9" style="1"/>
    <col min="5896" max="5896" width="9.875" style="1" bestFit="1" customWidth="1"/>
    <col min="5897" max="6144" width="9" style="1"/>
    <col min="6145" max="6145" width="7.5" style="1" customWidth="1"/>
    <col min="6146" max="6146" width="51.375" style="1" customWidth="1"/>
    <col min="6147" max="6147" width="6.625" style="1" customWidth="1"/>
    <col min="6148" max="6148" width="9.875" style="1" customWidth="1"/>
    <col min="6149" max="6149" width="10.125" style="1" customWidth="1"/>
    <col min="6150" max="6151" width="9" style="1"/>
    <col min="6152" max="6152" width="9.875" style="1" bestFit="1" customWidth="1"/>
    <col min="6153" max="6400" width="9" style="1"/>
    <col min="6401" max="6401" width="7.5" style="1" customWidth="1"/>
    <col min="6402" max="6402" width="51.375" style="1" customWidth="1"/>
    <col min="6403" max="6403" width="6.625" style="1" customWidth="1"/>
    <col min="6404" max="6404" width="9.875" style="1" customWidth="1"/>
    <col min="6405" max="6405" width="10.125" style="1" customWidth="1"/>
    <col min="6406" max="6407" width="9" style="1"/>
    <col min="6408" max="6408" width="9.875" style="1" bestFit="1" customWidth="1"/>
    <col min="6409" max="6656" width="9" style="1"/>
    <col min="6657" max="6657" width="7.5" style="1" customWidth="1"/>
    <col min="6658" max="6658" width="51.375" style="1" customWidth="1"/>
    <col min="6659" max="6659" width="6.625" style="1" customWidth="1"/>
    <col min="6660" max="6660" width="9.875" style="1" customWidth="1"/>
    <col min="6661" max="6661" width="10.125" style="1" customWidth="1"/>
    <col min="6662" max="6663" width="9" style="1"/>
    <col min="6664" max="6664" width="9.875" style="1" bestFit="1" customWidth="1"/>
    <col min="6665" max="6912" width="9" style="1"/>
    <col min="6913" max="6913" width="7.5" style="1" customWidth="1"/>
    <col min="6914" max="6914" width="51.375" style="1" customWidth="1"/>
    <col min="6915" max="6915" width="6.625" style="1" customWidth="1"/>
    <col min="6916" max="6916" width="9.875" style="1" customWidth="1"/>
    <col min="6917" max="6917" width="10.125" style="1" customWidth="1"/>
    <col min="6918" max="6919" width="9" style="1"/>
    <col min="6920" max="6920" width="9.875" style="1" bestFit="1" customWidth="1"/>
    <col min="6921" max="7168" width="9" style="1"/>
    <col min="7169" max="7169" width="7.5" style="1" customWidth="1"/>
    <col min="7170" max="7170" width="51.375" style="1" customWidth="1"/>
    <col min="7171" max="7171" width="6.625" style="1" customWidth="1"/>
    <col min="7172" max="7172" width="9.875" style="1" customWidth="1"/>
    <col min="7173" max="7173" width="10.125" style="1" customWidth="1"/>
    <col min="7174" max="7175" width="9" style="1"/>
    <col min="7176" max="7176" width="9.875" style="1" bestFit="1" customWidth="1"/>
    <col min="7177" max="7424" width="9" style="1"/>
    <col min="7425" max="7425" width="7.5" style="1" customWidth="1"/>
    <col min="7426" max="7426" width="51.375" style="1" customWidth="1"/>
    <col min="7427" max="7427" width="6.625" style="1" customWidth="1"/>
    <col min="7428" max="7428" width="9.875" style="1" customWidth="1"/>
    <col min="7429" max="7429" width="10.125" style="1" customWidth="1"/>
    <col min="7430" max="7431" width="9" style="1"/>
    <col min="7432" max="7432" width="9.875" style="1" bestFit="1" customWidth="1"/>
    <col min="7433" max="7680" width="9" style="1"/>
    <col min="7681" max="7681" width="7.5" style="1" customWidth="1"/>
    <col min="7682" max="7682" width="51.375" style="1" customWidth="1"/>
    <col min="7683" max="7683" width="6.625" style="1" customWidth="1"/>
    <col min="7684" max="7684" width="9.875" style="1" customWidth="1"/>
    <col min="7685" max="7685" width="10.125" style="1" customWidth="1"/>
    <col min="7686" max="7687" width="9" style="1"/>
    <col min="7688" max="7688" width="9.875" style="1" bestFit="1" customWidth="1"/>
    <col min="7689" max="7936" width="9" style="1"/>
    <col min="7937" max="7937" width="7.5" style="1" customWidth="1"/>
    <col min="7938" max="7938" width="51.375" style="1" customWidth="1"/>
    <col min="7939" max="7939" width="6.625" style="1" customWidth="1"/>
    <col min="7940" max="7940" width="9.875" style="1" customWidth="1"/>
    <col min="7941" max="7941" width="10.125" style="1" customWidth="1"/>
    <col min="7942" max="7943" width="9" style="1"/>
    <col min="7944" max="7944" width="9.875" style="1" bestFit="1" customWidth="1"/>
    <col min="7945" max="8192" width="9" style="1"/>
    <col min="8193" max="8193" width="7.5" style="1" customWidth="1"/>
    <col min="8194" max="8194" width="51.375" style="1" customWidth="1"/>
    <col min="8195" max="8195" width="6.625" style="1" customWidth="1"/>
    <col min="8196" max="8196" width="9.875" style="1" customWidth="1"/>
    <col min="8197" max="8197" width="10.125" style="1" customWidth="1"/>
    <col min="8198" max="8199" width="9" style="1"/>
    <col min="8200" max="8200" width="9.875" style="1" bestFit="1" customWidth="1"/>
    <col min="8201" max="8448" width="9" style="1"/>
    <col min="8449" max="8449" width="7.5" style="1" customWidth="1"/>
    <col min="8450" max="8450" width="51.375" style="1" customWidth="1"/>
    <col min="8451" max="8451" width="6.625" style="1" customWidth="1"/>
    <col min="8452" max="8452" width="9.875" style="1" customWidth="1"/>
    <col min="8453" max="8453" width="10.125" style="1" customWidth="1"/>
    <col min="8454" max="8455" width="9" style="1"/>
    <col min="8456" max="8456" width="9.875" style="1" bestFit="1" customWidth="1"/>
    <col min="8457" max="8704" width="9" style="1"/>
    <col min="8705" max="8705" width="7.5" style="1" customWidth="1"/>
    <col min="8706" max="8706" width="51.375" style="1" customWidth="1"/>
    <col min="8707" max="8707" width="6.625" style="1" customWidth="1"/>
    <col min="8708" max="8708" width="9.875" style="1" customWidth="1"/>
    <col min="8709" max="8709" width="10.125" style="1" customWidth="1"/>
    <col min="8710" max="8711" width="9" style="1"/>
    <col min="8712" max="8712" width="9.875" style="1" bestFit="1" customWidth="1"/>
    <col min="8713" max="8960" width="9" style="1"/>
    <col min="8961" max="8961" width="7.5" style="1" customWidth="1"/>
    <col min="8962" max="8962" width="51.375" style="1" customWidth="1"/>
    <col min="8963" max="8963" width="6.625" style="1" customWidth="1"/>
    <col min="8964" max="8964" width="9.875" style="1" customWidth="1"/>
    <col min="8965" max="8965" width="10.125" style="1" customWidth="1"/>
    <col min="8966" max="8967" width="9" style="1"/>
    <col min="8968" max="8968" width="9.875" style="1" bestFit="1" customWidth="1"/>
    <col min="8969" max="9216" width="9" style="1"/>
    <col min="9217" max="9217" width="7.5" style="1" customWidth="1"/>
    <col min="9218" max="9218" width="51.375" style="1" customWidth="1"/>
    <col min="9219" max="9219" width="6.625" style="1" customWidth="1"/>
    <col min="9220" max="9220" width="9.875" style="1" customWidth="1"/>
    <col min="9221" max="9221" width="10.125" style="1" customWidth="1"/>
    <col min="9222" max="9223" width="9" style="1"/>
    <col min="9224" max="9224" width="9.875" style="1" bestFit="1" customWidth="1"/>
    <col min="9225" max="9472" width="9" style="1"/>
    <col min="9473" max="9473" width="7.5" style="1" customWidth="1"/>
    <col min="9474" max="9474" width="51.375" style="1" customWidth="1"/>
    <col min="9475" max="9475" width="6.625" style="1" customWidth="1"/>
    <col min="9476" max="9476" width="9.875" style="1" customWidth="1"/>
    <col min="9477" max="9477" width="10.125" style="1" customWidth="1"/>
    <col min="9478" max="9479" width="9" style="1"/>
    <col min="9480" max="9480" width="9.875" style="1" bestFit="1" customWidth="1"/>
    <col min="9481" max="9728" width="9" style="1"/>
    <col min="9729" max="9729" width="7.5" style="1" customWidth="1"/>
    <col min="9730" max="9730" width="51.375" style="1" customWidth="1"/>
    <col min="9731" max="9731" width="6.625" style="1" customWidth="1"/>
    <col min="9732" max="9732" width="9.875" style="1" customWidth="1"/>
    <col min="9733" max="9733" width="10.125" style="1" customWidth="1"/>
    <col min="9734" max="9735" width="9" style="1"/>
    <col min="9736" max="9736" width="9.875" style="1" bestFit="1" customWidth="1"/>
    <col min="9737" max="9984" width="9" style="1"/>
    <col min="9985" max="9985" width="7.5" style="1" customWidth="1"/>
    <col min="9986" max="9986" width="51.375" style="1" customWidth="1"/>
    <col min="9987" max="9987" width="6.625" style="1" customWidth="1"/>
    <col min="9988" max="9988" width="9.875" style="1" customWidth="1"/>
    <col min="9989" max="9989" width="10.125" style="1" customWidth="1"/>
    <col min="9990" max="9991" width="9" style="1"/>
    <col min="9992" max="9992" width="9.875" style="1" bestFit="1" customWidth="1"/>
    <col min="9993" max="10240" width="9" style="1"/>
    <col min="10241" max="10241" width="7.5" style="1" customWidth="1"/>
    <col min="10242" max="10242" width="51.375" style="1" customWidth="1"/>
    <col min="10243" max="10243" width="6.625" style="1" customWidth="1"/>
    <col min="10244" max="10244" width="9.875" style="1" customWidth="1"/>
    <col min="10245" max="10245" width="10.125" style="1" customWidth="1"/>
    <col min="10246" max="10247" width="9" style="1"/>
    <col min="10248" max="10248" width="9.875" style="1" bestFit="1" customWidth="1"/>
    <col min="10249" max="10496" width="9" style="1"/>
    <col min="10497" max="10497" width="7.5" style="1" customWidth="1"/>
    <col min="10498" max="10498" width="51.375" style="1" customWidth="1"/>
    <col min="10499" max="10499" width="6.625" style="1" customWidth="1"/>
    <col min="10500" max="10500" width="9.875" style="1" customWidth="1"/>
    <col min="10501" max="10501" width="10.125" style="1" customWidth="1"/>
    <col min="10502" max="10503" width="9" style="1"/>
    <col min="10504" max="10504" width="9.875" style="1" bestFit="1" customWidth="1"/>
    <col min="10505" max="10752" width="9" style="1"/>
    <col min="10753" max="10753" width="7.5" style="1" customWidth="1"/>
    <col min="10754" max="10754" width="51.375" style="1" customWidth="1"/>
    <col min="10755" max="10755" width="6.625" style="1" customWidth="1"/>
    <col min="10756" max="10756" width="9.875" style="1" customWidth="1"/>
    <col min="10757" max="10757" width="10.125" style="1" customWidth="1"/>
    <col min="10758" max="10759" width="9" style="1"/>
    <col min="10760" max="10760" width="9.875" style="1" bestFit="1" customWidth="1"/>
    <col min="10761" max="11008" width="9" style="1"/>
    <col min="11009" max="11009" width="7.5" style="1" customWidth="1"/>
    <col min="11010" max="11010" width="51.375" style="1" customWidth="1"/>
    <col min="11011" max="11011" width="6.625" style="1" customWidth="1"/>
    <col min="11012" max="11012" width="9.875" style="1" customWidth="1"/>
    <col min="11013" max="11013" width="10.125" style="1" customWidth="1"/>
    <col min="11014" max="11015" width="9" style="1"/>
    <col min="11016" max="11016" width="9.875" style="1" bestFit="1" customWidth="1"/>
    <col min="11017" max="11264" width="9" style="1"/>
    <col min="11265" max="11265" width="7.5" style="1" customWidth="1"/>
    <col min="11266" max="11266" width="51.375" style="1" customWidth="1"/>
    <col min="11267" max="11267" width="6.625" style="1" customWidth="1"/>
    <col min="11268" max="11268" width="9.875" style="1" customWidth="1"/>
    <col min="11269" max="11269" width="10.125" style="1" customWidth="1"/>
    <col min="11270" max="11271" width="9" style="1"/>
    <col min="11272" max="11272" width="9.875" style="1" bestFit="1" customWidth="1"/>
    <col min="11273" max="11520" width="9" style="1"/>
    <col min="11521" max="11521" width="7.5" style="1" customWidth="1"/>
    <col min="11522" max="11522" width="51.375" style="1" customWidth="1"/>
    <col min="11523" max="11523" width="6.625" style="1" customWidth="1"/>
    <col min="11524" max="11524" width="9.875" style="1" customWidth="1"/>
    <col min="11525" max="11525" width="10.125" style="1" customWidth="1"/>
    <col min="11526" max="11527" width="9" style="1"/>
    <col min="11528" max="11528" width="9.875" style="1" bestFit="1" customWidth="1"/>
    <col min="11529" max="11776" width="9" style="1"/>
    <col min="11777" max="11777" width="7.5" style="1" customWidth="1"/>
    <col min="11778" max="11778" width="51.375" style="1" customWidth="1"/>
    <col min="11779" max="11779" width="6.625" style="1" customWidth="1"/>
    <col min="11780" max="11780" width="9.875" style="1" customWidth="1"/>
    <col min="11781" max="11781" width="10.125" style="1" customWidth="1"/>
    <col min="11782" max="11783" width="9" style="1"/>
    <col min="11784" max="11784" width="9.875" style="1" bestFit="1" customWidth="1"/>
    <col min="11785" max="12032" width="9" style="1"/>
    <col min="12033" max="12033" width="7.5" style="1" customWidth="1"/>
    <col min="12034" max="12034" width="51.375" style="1" customWidth="1"/>
    <col min="12035" max="12035" width="6.625" style="1" customWidth="1"/>
    <col min="12036" max="12036" width="9.875" style="1" customWidth="1"/>
    <col min="12037" max="12037" width="10.125" style="1" customWidth="1"/>
    <col min="12038" max="12039" width="9" style="1"/>
    <col min="12040" max="12040" width="9.875" style="1" bestFit="1" customWidth="1"/>
    <col min="12041" max="12288" width="9" style="1"/>
    <col min="12289" max="12289" width="7.5" style="1" customWidth="1"/>
    <col min="12290" max="12290" width="51.375" style="1" customWidth="1"/>
    <col min="12291" max="12291" width="6.625" style="1" customWidth="1"/>
    <col min="12292" max="12292" width="9.875" style="1" customWidth="1"/>
    <col min="12293" max="12293" width="10.125" style="1" customWidth="1"/>
    <col min="12294" max="12295" width="9" style="1"/>
    <col min="12296" max="12296" width="9.875" style="1" bestFit="1" customWidth="1"/>
    <col min="12297" max="12544" width="9" style="1"/>
    <col min="12545" max="12545" width="7.5" style="1" customWidth="1"/>
    <col min="12546" max="12546" width="51.375" style="1" customWidth="1"/>
    <col min="12547" max="12547" width="6.625" style="1" customWidth="1"/>
    <col min="12548" max="12548" width="9.875" style="1" customWidth="1"/>
    <col min="12549" max="12549" width="10.125" style="1" customWidth="1"/>
    <col min="12550" max="12551" width="9" style="1"/>
    <col min="12552" max="12552" width="9.875" style="1" bestFit="1" customWidth="1"/>
    <col min="12553" max="12800" width="9" style="1"/>
    <col min="12801" max="12801" width="7.5" style="1" customWidth="1"/>
    <col min="12802" max="12802" width="51.375" style="1" customWidth="1"/>
    <col min="12803" max="12803" width="6.625" style="1" customWidth="1"/>
    <col min="12804" max="12804" width="9.875" style="1" customWidth="1"/>
    <col min="12805" max="12805" width="10.125" style="1" customWidth="1"/>
    <col min="12806" max="12807" width="9" style="1"/>
    <col min="12808" max="12808" width="9.875" style="1" bestFit="1" customWidth="1"/>
    <col min="12809" max="13056" width="9" style="1"/>
    <col min="13057" max="13057" width="7.5" style="1" customWidth="1"/>
    <col min="13058" max="13058" width="51.375" style="1" customWidth="1"/>
    <col min="13059" max="13059" width="6.625" style="1" customWidth="1"/>
    <col min="13060" max="13060" width="9.875" style="1" customWidth="1"/>
    <col min="13061" max="13061" width="10.125" style="1" customWidth="1"/>
    <col min="13062" max="13063" width="9" style="1"/>
    <col min="13064" max="13064" width="9.875" style="1" bestFit="1" customWidth="1"/>
    <col min="13065" max="13312" width="9" style="1"/>
    <col min="13313" max="13313" width="7.5" style="1" customWidth="1"/>
    <col min="13314" max="13314" width="51.375" style="1" customWidth="1"/>
    <col min="13315" max="13315" width="6.625" style="1" customWidth="1"/>
    <col min="13316" max="13316" width="9.875" style="1" customWidth="1"/>
    <col min="13317" max="13317" width="10.125" style="1" customWidth="1"/>
    <col min="13318" max="13319" width="9" style="1"/>
    <col min="13320" max="13320" width="9.875" style="1" bestFit="1" customWidth="1"/>
    <col min="13321" max="13568" width="9" style="1"/>
    <col min="13569" max="13569" width="7.5" style="1" customWidth="1"/>
    <col min="13570" max="13570" width="51.375" style="1" customWidth="1"/>
    <col min="13571" max="13571" width="6.625" style="1" customWidth="1"/>
    <col min="13572" max="13572" width="9.875" style="1" customWidth="1"/>
    <col min="13573" max="13573" width="10.125" style="1" customWidth="1"/>
    <col min="13574" max="13575" width="9" style="1"/>
    <col min="13576" max="13576" width="9.875" style="1" bestFit="1" customWidth="1"/>
    <col min="13577" max="13824" width="9" style="1"/>
    <col min="13825" max="13825" width="7.5" style="1" customWidth="1"/>
    <col min="13826" max="13826" width="51.375" style="1" customWidth="1"/>
    <col min="13827" max="13827" width="6.625" style="1" customWidth="1"/>
    <col min="13828" max="13828" width="9.875" style="1" customWidth="1"/>
    <col min="13829" max="13829" width="10.125" style="1" customWidth="1"/>
    <col min="13830" max="13831" width="9" style="1"/>
    <col min="13832" max="13832" width="9.875" style="1" bestFit="1" customWidth="1"/>
    <col min="13833" max="14080" width="9" style="1"/>
    <col min="14081" max="14081" width="7.5" style="1" customWidth="1"/>
    <col min="14082" max="14082" width="51.375" style="1" customWidth="1"/>
    <col min="14083" max="14083" width="6.625" style="1" customWidth="1"/>
    <col min="14084" max="14084" width="9.875" style="1" customWidth="1"/>
    <col min="14085" max="14085" width="10.125" style="1" customWidth="1"/>
    <col min="14086" max="14087" width="9" style="1"/>
    <col min="14088" max="14088" width="9.875" style="1" bestFit="1" customWidth="1"/>
    <col min="14089" max="14336" width="9" style="1"/>
    <col min="14337" max="14337" width="7.5" style="1" customWidth="1"/>
    <col min="14338" max="14338" width="51.375" style="1" customWidth="1"/>
    <col min="14339" max="14339" width="6.625" style="1" customWidth="1"/>
    <col min="14340" max="14340" width="9.875" style="1" customWidth="1"/>
    <col min="14341" max="14341" width="10.125" style="1" customWidth="1"/>
    <col min="14342" max="14343" width="9" style="1"/>
    <col min="14344" max="14344" width="9.875" style="1" bestFit="1" customWidth="1"/>
    <col min="14345" max="14592" width="9" style="1"/>
    <col min="14593" max="14593" width="7.5" style="1" customWidth="1"/>
    <col min="14594" max="14594" width="51.375" style="1" customWidth="1"/>
    <col min="14595" max="14595" width="6.625" style="1" customWidth="1"/>
    <col min="14596" max="14596" width="9.875" style="1" customWidth="1"/>
    <col min="14597" max="14597" width="10.125" style="1" customWidth="1"/>
    <col min="14598" max="14599" width="9" style="1"/>
    <col min="14600" max="14600" width="9.875" style="1" bestFit="1" customWidth="1"/>
    <col min="14601" max="14848" width="9" style="1"/>
    <col min="14849" max="14849" width="7.5" style="1" customWidth="1"/>
    <col min="14850" max="14850" width="51.375" style="1" customWidth="1"/>
    <col min="14851" max="14851" width="6.625" style="1" customWidth="1"/>
    <col min="14852" max="14852" width="9.875" style="1" customWidth="1"/>
    <col min="14853" max="14853" width="10.125" style="1" customWidth="1"/>
    <col min="14854" max="14855" width="9" style="1"/>
    <col min="14856" max="14856" width="9.875" style="1" bestFit="1" customWidth="1"/>
    <col min="14857" max="15104" width="9" style="1"/>
    <col min="15105" max="15105" width="7.5" style="1" customWidth="1"/>
    <col min="15106" max="15106" width="51.375" style="1" customWidth="1"/>
    <col min="15107" max="15107" width="6.625" style="1" customWidth="1"/>
    <col min="15108" max="15108" width="9.875" style="1" customWidth="1"/>
    <col min="15109" max="15109" width="10.125" style="1" customWidth="1"/>
    <col min="15110" max="15111" width="9" style="1"/>
    <col min="15112" max="15112" width="9.875" style="1" bestFit="1" customWidth="1"/>
    <col min="15113" max="15360" width="9" style="1"/>
    <col min="15361" max="15361" width="7.5" style="1" customWidth="1"/>
    <col min="15362" max="15362" width="51.375" style="1" customWidth="1"/>
    <col min="15363" max="15363" width="6.625" style="1" customWidth="1"/>
    <col min="15364" max="15364" width="9.875" style="1" customWidth="1"/>
    <col min="15365" max="15365" width="10.125" style="1" customWidth="1"/>
    <col min="15366" max="15367" width="9" style="1"/>
    <col min="15368" max="15368" width="9.875" style="1" bestFit="1" customWidth="1"/>
    <col min="15369" max="15616" width="9" style="1"/>
    <col min="15617" max="15617" width="7.5" style="1" customWidth="1"/>
    <col min="15618" max="15618" width="51.375" style="1" customWidth="1"/>
    <col min="15619" max="15619" width="6.625" style="1" customWidth="1"/>
    <col min="15620" max="15620" width="9.875" style="1" customWidth="1"/>
    <col min="15621" max="15621" width="10.125" style="1" customWidth="1"/>
    <col min="15622" max="15623" width="9" style="1"/>
    <col min="15624" max="15624" width="9.875" style="1" bestFit="1" customWidth="1"/>
    <col min="15625" max="15872" width="9" style="1"/>
    <col min="15873" max="15873" width="7.5" style="1" customWidth="1"/>
    <col min="15874" max="15874" width="51.375" style="1" customWidth="1"/>
    <col min="15875" max="15875" width="6.625" style="1" customWidth="1"/>
    <col min="15876" max="15876" width="9.875" style="1" customWidth="1"/>
    <col min="15877" max="15877" width="10.125" style="1" customWidth="1"/>
    <col min="15878" max="15879" width="9" style="1"/>
    <col min="15880" max="15880" width="9.875" style="1" bestFit="1" customWidth="1"/>
    <col min="15881" max="16128" width="9" style="1"/>
    <col min="16129" max="16129" width="7.5" style="1" customWidth="1"/>
    <col min="16130" max="16130" width="51.375" style="1" customWidth="1"/>
    <col min="16131" max="16131" width="6.625" style="1" customWidth="1"/>
    <col min="16132" max="16132" width="9.875" style="1" customWidth="1"/>
    <col min="16133" max="16133" width="10.125" style="1" customWidth="1"/>
    <col min="16134" max="16135" width="9" style="1"/>
    <col min="16136" max="16136" width="9.875" style="1" bestFit="1" customWidth="1"/>
    <col min="16137" max="16384" width="9" style="1"/>
  </cols>
  <sheetData>
    <row r="1" spans="1:10" ht="24" customHeight="1" x14ac:dyDescent="0.15">
      <c r="A1" s="81" t="s">
        <v>155</v>
      </c>
      <c r="D1" s="126">
        <v>38773</v>
      </c>
      <c r="E1" s="126"/>
    </row>
    <row r="2" spans="1:10" ht="21.75" customHeight="1" x14ac:dyDescent="0.15">
      <c r="C2" s="1" t="s">
        <v>158</v>
      </c>
      <c r="E2" s="82"/>
    </row>
    <row r="3" spans="1:10" ht="18" customHeight="1" x14ac:dyDescent="0.15">
      <c r="A3" s="48"/>
      <c r="B3" s="66" t="s">
        <v>127</v>
      </c>
      <c r="D3" s="67" t="str">
        <f>"仕上り"&amp;D24&amp;"割"</f>
        <v>仕上り2割</v>
      </c>
      <c r="E3" s="67" t="str">
        <f>"仕上り"&amp;E24&amp;"割"</f>
        <v>仕上り2割</v>
      </c>
      <c r="J3" s="83" t="s">
        <v>263</v>
      </c>
    </row>
    <row r="4" spans="1:10" ht="18" customHeight="1" x14ac:dyDescent="0.15">
      <c r="A4" s="21" t="s">
        <v>4</v>
      </c>
      <c r="B4" s="21" t="s">
        <v>5</v>
      </c>
      <c r="C4" s="21" t="s">
        <v>7</v>
      </c>
      <c r="D4" s="68" t="str">
        <f>"下地"&amp;D23&amp;"割"</f>
        <v>下地1.5割</v>
      </c>
      <c r="E4" s="68" t="str">
        <f>"下地"&amp;E23&amp;"割"</f>
        <v>下地1.5割</v>
      </c>
    </row>
    <row r="5" spans="1:10" ht="18" customHeight="1" x14ac:dyDescent="0.15">
      <c r="A5" s="21" t="s">
        <v>159</v>
      </c>
      <c r="B5" s="14" t="s">
        <v>160</v>
      </c>
      <c r="C5" s="69" t="s">
        <v>161</v>
      </c>
      <c r="D5" s="72">
        <f>D9*((D13-D10/SIN(D14*PI()/180)-D12*TAN(D14*PI()/180))*((D8*COS(D14*PI()/180))/2+D12)+(D12*D12*TAN(D14*PI()/180))/2)</f>
        <v>154.78298199144055</v>
      </c>
      <c r="E5" s="72">
        <f>E9*((E13-E10/SIN(E14*PI()/180)-E12*TAN(E14*PI()/180))*((E8*COS(E14*PI()/180))/2+E12)+(E12*E12*TAN(E14*PI()/180))/2)</f>
        <v>154.78298199144055</v>
      </c>
    </row>
    <row r="6" spans="1:10" ht="18" customHeight="1" x14ac:dyDescent="0.15">
      <c r="A6" s="21" t="s">
        <v>162</v>
      </c>
      <c r="B6" s="14" t="s">
        <v>163</v>
      </c>
      <c r="C6" s="69" t="s">
        <v>161</v>
      </c>
      <c r="D6" s="72">
        <f>D9/(2*TAN(D15*PI()/180))*SUMSQ((D13-D10/SIN(D14*PI()/180)-D12*TAN(D14*PI()/180))*(SIN(D14*PI()/180)-COS(D14*PI()/180)*TAN(D15*PI()/180))+D12/COS(D14*PI()/180))</f>
        <v>80.634327330480133</v>
      </c>
      <c r="E6" s="72">
        <f>E9/(2*TAN(E15*PI()/180))*SUMSQ((E13-E10/SIN(E14*PI()/180)-E12*TAN(E14*PI()/180))*(SIN(E14*PI()/180)-COS(E14*PI()/180)*TAN(E15*PI()/180))+E12/COS(E14*PI()/180))</f>
        <v>80.634327330480133</v>
      </c>
      <c r="H6" s="85"/>
    </row>
    <row r="7" spans="1:10" ht="18" customHeight="1" x14ac:dyDescent="0.15">
      <c r="A7" s="21" t="s">
        <v>164</v>
      </c>
      <c r="B7" s="14" t="s">
        <v>165</v>
      </c>
      <c r="C7" s="69" t="s">
        <v>161</v>
      </c>
      <c r="D7" s="72">
        <f>D5*COS(D14*PI()/180)</f>
        <v>128.78722572446728</v>
      </c>
      <c r="E7" s="72">
        <f>E5*COS(E14*PI()/180)</f>
        <v>128.78722572446728</v>
      </c>
      <c r="H7" s="85"/>
    </row>
    <row r="8" spans="1:10" ht="18" customHeight="1" x14ac:dyDescent="0.15">
      <c r="A8" s="21" t="s">
        <v>245</v>
      </c>
      <c r="B8" s="14" t="s">
        <v>246</v>
      </c>
      <c r="C8" s="69" t="s">
        <v>34</v>
      </c>
      <c r="D8" s="72">
        <f>(D13-(D10/SIN(D14*PI()/180))-D12*TAN(D14*PI()/180))*(SIN(D14*PI()/180)-COS(D14*PI()/180)*TAN(D15*PI()/180))</f>
        <v>0.7944911330824671</v>
      </c>
      <c r="E8" s="72">
        <f>(E13-(E10/SIN(E14*PI()/180))-E12*TAN(E14*PI()/180))*(SIN(E14*PI()/180)-COS(E14*PI()/180)*TAN(E15*PI()/180))</f>
        <v>0.7944911330824671</v>
      </c>
      <c r="H8" s="85"/>
    </row>
    <row r="9" spans="1:10" ht="18" customHeight="1" x14ac:dyDescent="0.15">
      <c r="A9" s="21" t="s">
        <v>247</v>
      </c>
      <c r="B9" s="14" t="s">
        <v>264</v>
      </c>
      <c r="C9" s="124" t="s">
        <v>249</v>
      </c>
      <c r="D9" s="70">
        <v>18</v>
      </c>
      <c r="E9" s="70">
        <v>18</v>
      </c>
      <c r="H9" s="85"/>
    </row>
    <row r="10" spans="1:10" ht="18" customHeight="1" x14ac:dyDescent="0.15">
      <c r="A10" s="21" t="s">
        <v>180</v>
      </c>
      <c r="B10" s="89" t="s">
        <v>181</v>
      </c>
      <c r="C10" s="69" t="s">
        <v>34</v>
      </c>
      <c r="D10" s="90">
        <f>D13*SIN(D14*PI()/180)+D12*COS(D14*PI()/180)-E11</f>
        <v>1.5739671486662585</v>
      </c>
      <c r="E10" s="90">
        <f>E13*SIN(E14*PI()/180)+E12*COS(E14*PI()/180)-E11</f>
        <v>1.5739671486662585</v>
      </c>
    </row>
    <row r="11" spans="1:10" ht="18" customHeight="1" x14ac:dyDescent="0.15">
      <c r="A11" s="21" t="s">
        <v>250</v>
      </c>
      <c r="B11" s="89" t="s">
        <v>251</v>
      </c>
      <c r="C11" s="69" t="s">
        <v>34</v>
      </c>
      <c r="D11" s="70">
        <v>4.5</v>
      </c>
      <c r="E11" s="70">
        <v>4.5</v>
      </c>
    </row>
    <row r="12" spans="1:10" ht="18" customHeight="1" x14ac:dyDescent="0.15">
      <c r="A12" s="21" t="s">
        <v>252</v>
      </c>
      <c r="B12" s="14" t="s">
        <v>134</v>
      </c>
      <c r="C12" s="69" t="s">
        <v>34</v>
      </c>
      <c r="D12" s="70">
        <v>1.1000000000000001</v>
      </c>
      <c r="E12" s="70">
        <v>1.1000000000000001</v>
      </c>
    </row>
    <row r="13" spans="1:10" ht="18" customHeight="1" x14ac:dyDescent="0.15">
      <c r="A13" s="21" t="s">
        <v>182</v>
      </c>
      <c r="B13" s="14" t="s">
        <v>183</v>
      </c>
      <c r="C13" s="69" t="s">
        <v>34</v>
      </c>
      <c r="D13" s="70">
        <v>9.3000000000000007</v>
      </c>
      <c r="E13" s="70">
        <v>9.3000000000000007</v>
      </c>
    </row>
    <row r="14" spans="1:10" ht="18" customHeight="1" x14ac:dyDescent="0.15">
      <c r="A14" s="21" t="s">
        <v>135</v>
      </c>
      <c r="B14" s="14" t="s">
        <v>136</v>
      </c>
      <c r="C14" s="69" t="s">
        <v>16</v>
      </c>
      <c r="D14" s="88">
        <f>ATAN(1/D23)*180/PI()</f>
        <v>33.690067525979785</v>
      </c>
      <c r="E14" s="88">
        <f>ATAN(1/E23)*180/PI()</f>
        <v>33.690067525979785</v>
      </c>
    </row>
    <row r="15" spans="1:10" ht="18" customHeight="1" x14ac:dyDescent="0.15">
      <c r="A15" s="21" t="s">
        <v>30</v>
      </c>
      <c r="B15" s="14" t="s">
        <v>137</v>
      </c>
      <c r="C15" s="73" t="s">
        <v>16</v>
      </c>
      <c r="D15" s="90">
        <f>ATAN(1/D24)*180/PI()</f>
        <v>26.56505117707799</v>
      </c>
      <c r="E15" s="90">
        <f>ATAN(1/E24)*180/PI()</f>
        <v>26.56505117707799</v>
      </c>
    </row>
    <row r="16" spans="1:10" ht="18" customHeight="1" x14ac:dyDescent="0.15">
      <c r="A16" s="21" t="s">
        <v>200</v>
      </c>
      <c r="B16" s="14" t="s">
        <v>201</v>
      </c>
      <c r="C16" s="73" t="s">
        <v>16</v>
      </c>
      <c r="D16" s="93">
        <v>30</v>
      </c>
      <c r="E16" s="93">
        <v>30</v>
      </c>
    </row>
    <row r="17" spans="1:6" ht="18" customHeight="1" x14ac:dyDescent="0.15">
      <c r="A17" s="21" t="s">
        <v>202</v>
      </c>
      <c r="B17" s="94" t="s">
        <v>203</v>
      </c>
      <c r="C17" s="95" t="s">
        <v>16</v>
      </c>
      <c r="D17" s="70">
        <v>27</v>
      </c>
      <c r="E17" s="70">
        <v>27</v>
      </c>
    </row>
    <row r="18" spans="1:6" ht="18" customHeight="1" x14ac:dyDescent="0.15">
      <c r="A18" s="21" t="s">
        <v>204</v>
      </c>
      <c r="B18" s="14" t="s">
        <v>205</v>
      </c>
      <c r="C18" s="69" t="s">
        <v>161</v>
      </c>
      <c r="D18" s="96">
        <f>D19*(D13-D10/SIN(D14*PI()/180))</f>
        <v>0</v>
      </c>
      <c r="E18" s="96">
        <f>E19*(E13-E10/SIN(E14*PI()/180))</f>
        <v>6.4624903697939766</v>
      </c>
    </row>
    <row r="19" spans="1:6" ht="18" customHeight="1" x14ac:dyDescent="0.15">
      <c r="A19" s="21" t="s">
        <v>206</v>
      </c>
      <c r="B19" s="14" t="s">
        <v>207</v>
      </c>
      <c r="C19" s="69" t="s">
        <v>253</v>
      </c>
      <c r="D19" s="70">
        <v>0</v>
      </c>
      <c r="E19" s="70">
        <v>1</v>
      </c>
    </row>
    <row r="20" spans="1:6" ht="18" customHeight="1" x14ac:dyDescent="0.15">
      <c r="A20" s="21" t="s">
        <v>12</v>
      </c>
      <c r="B20" s="14" t="s">
        <v>209</v>
      </c>
      <c r="C20" s="69" t="s">
        <v>161</v>
      </c>
      <c r="D20" s="72">
        <f>(D21/TAN(D15*PI()/180))*((D13-D10/SIN(D14*PI()/180)-D12*TAN(D14*PI()/180))*(SIN(D14*PI()/180)-COS(D14*PI()/180)*TAN(D15*PI()/180))+D12/COS(D14*PI()/180))</f>
        <v>0</v>
      </c>
      <c r="E20" s="72">
        <f>(E21/TAN(E15*PI()/180))*((E13-E10/SIN(E14*PI()/180)-E12*TAN(E14*PI()/180))*(SIN(E14*PI()/180)-COS(E14*PI()/180)*TAN(E15*PI()/180))+E12/COS(E14*PI()/180))</f>
        <v>0</v>
      </c>
    </row>
    <row r="21" spans="1:6" ht="18" customHeight="1" x14ac:dyDescent="0.15">
      <c r="A21" s="21" t="s">
        <v>43</v>
      </c>
      <c r="B21" s="14" t="s">
        <v>210</v>
      </c>
      <c r="C21" s="69" t="s">
        <v>253</v>
      </c>
      <c r="D21" s="70">
        <v>0</v>
      </c>
      <c r="E21" s="70">
        <v>0</v>
      </c>
    </row>
    <row r="22" spans="1:6" ht="18" customHeight="1" x14ac:dyDescent="0.15">
      <c r="A22" s="97" t="s">
        <v>84</v>
      </c>
      <c r="B22" s="98" t="s">
        <v>256</v>
      </c>
      <c r="C22" s="99"/>
      <c r="D22" s="100">
        <f>(-D31+SQRT(D31*D31-4*D29*D34))/(2*D29)</f>
        <v>1.4953605445375793</v>
      </c>
      <c r="E22" s="100">
        <f>(-E31+SQRT(E31*E31-4*E29*E34))/(2*E29)</f>
        <v>1.5617631659071436</v>
      </c>
      <c r="F22" s="53"/>
    </row>
    <row r="23" spans="1:6" ht="18" customHeight="1" x14ac:dyDescent="0.15">
      <c r="A23" s="21" t="s">
        <v>140</v>
      </c>
      <c r="B23" s="14" t="s">
        <v>141</v>
      </c>
      <c r="C23" s="75" t="s">
        <v>23</v>
      </c>
      <c r="D23" s="76">
        <v>1.5</v>
      </c>
      <c r="E23" s="76">
        <v>1.5</v>
      </c>
    </row>
    <row r="24" spans="1:6" ht="18" customHeight="1" x14ac:dyDescent="0.15">
      <c r="A24" s="21" t="s">
        <v>142</v>
      </c>
      <c r="B24" s="14" t="s">
        <v>143</v>
      </c>
      <c r="C24" s="75" t="s">
        <v>23</v>
      </c>
      <c r="D24" s="125">
        <v>2</v>
      </c>
      <c r="E24" s="125">
        <v>2</v>
      </c>
    </row>
    <row r="25" spans="1:6" ht="18" customHeight="1" x14ac:dyDescent="0.15">
      <c r="A25" s="38"/>
    </row>
    <row r="26" spans="1:6" ht="19.5" x14ac:dyDescent="0.4">
      <c r="B26" s="105" t="s">
        <v>214</v>
      </c>
    </row>
    <row r="27" spans="1:6" ht="19.5" customHeight="1" x14ac:dyDescent="0.15">
      <c r="A27" s="105"/>
      <c r="B27" s="106" t="s">
        <v>215</v>
      </c>
      <c r="C27" s="106" t="s">
        <v>150</v>
      </c>
      <c r="D27" s="1" t="s">
        <v>216</v>
      </c>
      <c r="F27" s="1" t="s">
        <v>151</v>
      </c>
    </row>
    <row r="28" spans="1:6" x14ac:dyDescent="0.15">
      <c r="D28" s="48" t="s">
        <v>236</v>
      </c>
      <c r="E28" s="48"/>
    </row>
    <row r="29" spans="1:6" x14ac:dyDescent="0.15">
      <c r="A29" s="23" t="s">
        <v>218</v>
      </c>
      <c r="B29" s="24" t="s">
        <v>265</v>
      </c>
      <c r="C29" s="24"/>
      <c r="D29" s="107">
        <f>(D5-D7*COS(D14*PI()/180))*COS((D14*PI()/180+D15*PI()/180)/2)</f>
        <v>41.191804113043275</v>
      </c>
      <c r="E29" s="107">
        <f>(E5-E7*COS(E14*PI()/180))*COS((E14*PI()/180+E15*PI()/180)/2)</f>
        <v>41.191804113043275</v>
      </c>
    </row>
    <row r="30" spans="1:6" x14ac:dyDescent="0.15">
      <c r="A30" s="64"/>
      <c r="B30" s="65"/>
      <c r="C30" s="65"/>
      <c r="D30" s="65"/>
      <c r="E30" s="65"/>
    </row>
    <row r="31" spans="1:6" x14ac:dyDescent="0.15">
      <c r="A31" s="23" t="s">
        <v>221</v>
      </c>
      <c r="B31" s="111" t="s">
        <v>260</v>
      </c>
      <c r="C31" s="111"/>
      <c r="D31" s="92">
        <f>-((D5-D7*COS(D14*PI()/180))*SIN((D14*PI()/180+D15*PI()/180)/2)*TAN(D16*PI()/180)+(D7*TAN(D17*PI()/180)+D18)*SIN(D14*PI()/180)*COS((D14*PI()/180+D15*PI()/180)/2)+SIN((D14*PI()/180+D15*PI()/180)/2)*(D20+D6*TAN(D16*PI()/180)))</f>
        <v>-68.65052373392686</v>
      </c>
      <c r="E31" s="92">
        <f>-((E5-E7*COS(E14*PI()/180))*SIN((E14*PI()/180+E15*PI()/180)/2)*TAN(E16*PI()/180)+(E7*TAN(E17*PI()/180)+E18)*SIN(E14*PI()/180)*COS((E14*PI()/180+E15*PI()/180)/2)+SIN((E14*PI()/180+E15*PI()/180)/2)*(E20+E6*TAN(E16*PI()/180)))</f>
        <v>-71.751005585649935</v>
      </c>
    </row>
    <row r="32" spans="1:6" x14ac:dyDescent="0.15">
      <c r="A32" s="108"/>
      <c r="B32" s="109" t="s">
        <v>261</v>
      </c>
      <c r="C32" s="109"/>
      <c r="D32" s="109"/>
      <c r="E32" s="109"/>
    </row>
    <row r="33" spans="1:5" x14ac:dyDescent="0.15">
      <c r="A33" s="64"/>
      <c r="B33" s="65"/>
      <c r="C33" s="65"/>
      <c r="D33" s="65"/>
      <c r="E33" s="65"/>
    </row>
    <row r="34" spans="1:5" x14ac:dyDescent="0.15">
      <c r="A34" s="23" t="s">
        <v>226</v>
      </c>
      <c r="B34" s="24" t="s">
        <v>262</v>
      </c>
      <c r="C34" s="24"/>
      <c r="D34" s="107">
        <f>(D7*TAN(D17*PI()/180)+D18)*SIN(D14*PI()/180)*SIN((D14*PI()/180+D15*PI()/180)/2)*TAN(D16*PI()/180)</f>
        <v>10.548161286082042</v>
      </c>
      <c r="E34" s="107">
        <f>(E7*TAN(E17*PI()/180)+E18)*SIN(E14*PI()/180)*SIN((E14*PI()/180+E15*PI()/180)/2)*TAN(E16*PI()/180)</f>
        <v>11.586975783619746</v>
      </c>
    </row>
    <row r="35" spans="1:5" x14ac:dyDescent="0.15">
      <c r="A35" s="64"/>
      <c r="B35" s="65"/>
      <c r="C35" s="65"/>
      <c r="D35" s="65"/>
      <c r="E35" s="65"/>
    </row>
    <row r="37" spans="1:5" ht="20.25" customHeight="1" x14ac:dyDescent="0.15">
      <c r="A37" s="106"/>
    </row>
  </sheetData>
  <mergeCells count="1">
    <mergeCell ref="D1:E1"/>
  </mergeCells>
  <phoneticPr fontId="2"/>
  <pageMargins left="0.75" right="0.75" top="1" bottom="1" header="0.51200000000000001" footer="0.51200000000000001"/>
  <pageSetup paperSize="9" scale="92" orientation="portrait" horizontalDpi="4294967293" r:id="rId1"/>
  <headerFooter alignWithMargins="0"/>
  <colBreaks count="1" manualBreakCount="1">
    <brk id="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11272-2187-40F0-B400-FEDD9183D89C}">
  <dimension ref="A1:J38"/>
  <sheetViews>
    <sheetView topLeftCell="A22" workbookViewId="0">
      <selection activeCell="E42" sqref="E42"/>
    </sheetView>
  </sheetViews>
  <sheetFormatPr defaultRowHeight="13.5" x14ac:dyDescent="0.15"/>
  <cols>
    <col min="1" max="1" width="7" style="1" customWidth="1"/>
    <col min="2" max="2" width="51.375" style="1" customWidth="1"/>
    <col min="3" max="3" width="6.625" style="1" customWidth="1"/>
    <col min="4" max="4" width="11.75" style="1" customWidth="1"/>
    <col min="5" max="5" width="11.375" style="1" customWidth="1"/>
    <col min="6" max="6" width="7.125" style="1" customWidth="1"/>
    <col min="7" max="7" width="9" style="1"/>
    <col min="8" max="8" width="9.875" style="1" bestFit="1" customWidth="1"/>
    <col min="9" max="256" width="9" style="1"/>
    <col min="257" max="257" width="7" style="1" customWidth="1"/>
    <col min="258" max="258" width="51.375" style="1" customWidth="1"/>
    <col min="259" max="259" width="6.625" style="1" customWidth="1"/>
    <col min="260" max="260" width="11.75" style="1" customWidth="1"/>
    <col min="261" max="261" width="11.375" style="1" customWidth="1"/>
    <col min="262" max="262" width="7.125" style="1" customWidth="1"/>
    <col min="263" max="263" width="9" style="1"/>
    <col min="264" max="264" width="9.875" style="1" bestFit="1" customWidth="1"/>
    <col min="265" max="512" width="9" style="1"/>
    <col min="513" max="513" width="7" style="1" customWidth="1"/>
    <col min="514" max="514" width="51.375" style="1" customWidth="1"/>
    <col min="515" max="515" width="6.625" style="1" customWidth="1"/>
    <col min="516" max="516" width="11.75" style="1" customWidth="1"/>
    <col min="517" max="517" width="11.375" style="1" customWidth="1"/>
    <col min="518" max="518" width="7.125" style="1" customWidth="1"/>
    <col min="519" max="519" width="9" style="1"/>
    <col min="520" max="520" width="9.875" style="1" bestFit="1" customWidth="1"/>
    <col min="521" max="768" width="9" style="1"/>
    <col min="769" max="769" width="7" style="1" customWidth="1"/>
    <col min="770" max="770" width="51.375" style="1" customWidth="1"/>
    <col min="771" max="771" width="6.625" style="1" customWidth="1"/>
    <col min="772" max="772" width="11.75" style="1" customWidth="1"/>
    <col min="773" max="773" width="11.375" style="1" customWidth="1"/>
    <col min="774" max="774" width="7.125" style="1" customWidth="1"/>
    <col min="775" max="775" width="9" style="1"/>
    <col min="776" max="776" width="9.875" style="1" bestFit="1" customWidth="1"/>
    <col min="777" max="1024" width="9" style="1"/>
    <col min="1025" max="1025" width="7" style="1" customWidth="1"/>
    <col min="1026" max="1026" width="51.375" style="1" customWidth="1"/>
    <col min="1027" max="1027" width="6.625" style="1" customWidth="1"/>
    <col min="1028" max="1028" width="11.75" style="1" customWidth="1"/>
    <col min="1029" max="1029" width="11.375" style="1" customWidth="1"/>
    <col min="1030" max="1030" width="7.125" style="1" customWidth="1"/>
    <col min="1031" max="1031" width="9" style="1"/>
    <col min="1032" max="1032" width="9.875" style="1" bestFit="1" customWidth="1"/>
    <col min="1033" max="1280" width="9" style="1"/>
    <col min="1281" max="1281" width="7" style="1" customWidth="1"/>
    <col min="1282" max="1282" width="51.375" style="1" customWidth="1"/>
    <col min="1283" max="1283" width="6.625" style="1" customWidth="1"/>
    <col min="1284" max="1284" width="11.75" style="1" customWidth="1"/>
    <col min="1285" max="1285" width="11.375" style="1" customWidth="1"/>
    <col min="1286" max="1286" width="7.125" style="1" customWidth="1"/>
    <col min="1287" max="1287" width="9" style="1"/>
    <col min="1288" max="1288" width="9.875" style="1" bestFit="1" customWidth="1"/>
    <col min="1289" max="1536" width="9" style="1"/>
    <col min="1537" max="1537" width="7" style="1" customWidth="1"/>
    <col min="1538" max="1538" width="51.375" style="1" customWidth="1"/>
    <col min="1539" max="1539" width="6.625" style="1" customWidth="1"/>
    <col min="1540" max="1540" width="11.75" style="1" customWidth="1"/>
    <col min="1541" max="1541" width="11.375" style="1" customWidth="1"/>
    <col min="1542" max="1542" width="7.125" style="1" customWidth="1"/>
    <col min="1543" max="1543" width="9" style="1"/>
    <col min="1544" max="1544" width="9.875" style="1" bestFit="1" customWidth="1"/>
    <col min="1545" max="1792" width="9" style="1"/>
    <col min="1793" max="1793" width="7" style="1" customWidth="1"/>
    <col min="1794" max="1794" width="51.375" style="1" customWidth="1"/>
    <col min="1795" max="1795" width="6.625" style="1" customWidth="1"/>
    <col min="1796" max="1796" width="11.75" style="1" customWidth="1"/>
    <col min="1797" max="1797" width="11.375" style="1" customWidth="1"/>
    <col min="1798" max="1798" width="7.125" style="1" customWidth="1"/>
    <col min="1799" max="1799" width="9" style="1"/>
    <col min="1800" max="1800" width="9.875" style="1" bestFit="1" customWidth="1"/>
    <col min="1801" max="2048" width="9" style="1"/>
    <col min="2049" max="2049" width="7" style="1" customWidth="1"/>
    <col min="2050" max="2050" width="51.375" style="1" customWidth="1"/>
    <col min="2051" max="2051" width="6.625" style="1" customWidth="1"/>
    <col min="2052" max="2052" width="11.75" style="1" customWidth="1"/>
    <col min="2053" max="2053" width="11.375" style="1" customWidth="1"/>
    <col min="2054" max="2054" width="7.125" style="1" customWidth="1"/>
    <col min="2055" max="2055" width="9" style="1"/>
    <col min="2056" max="2056" width="9.875" style="1" bestFit="1" customWidth="1"/>
    <col min="2057" max="2304" width="9" style="1"/>
    <col min="2305" max="2305" width="7" style="1" customWidth="1"/>
    <col min="2306" max="2306" width="51.375" style="1" customWidth="1"/>
    <col min="2307" max="2307" width="6.625" style="1" customWidth="1"/>
    <col min="2308" max="2308" width="11.75" style="1" customWidth="1"/>
    <col min="2309" max="2309" width="11.375" style="1" customWidth="1"/>
    <col min="2310" max="2310" width="7.125" style="1" customWidth="1"/>
    <col min="2311" max="2311" width="9" style="1"/>
    <col min="2312" max="2312" width="9.875" style="1" bestFit="1" customWidth="1"/>
    <col min="2313" max="2560" width="9" style="1"/>
    <col min="2561" max="2561" width="7" style="1" customWidth="1"/>
    <col min="2562" max="2562" width="51.375" style="1" customWidth="1"/>
    <col min="2563" max="2563" width="6.625" style="1" customWidth="1"/>
    <col min="2564" max="2564" width="11.75" style="1" customWidth="1"/>
    <col min="2565" max="2565" width="11.375" style="1" customWidth="1"/>
    <col min="2566" max="2566" width="7.125" style="1" customWidth="1"/>
    <col min="2567" max="2567" width="9" style="1"/>
    <col min="2568" max="2568" width="9.875" style="1" bestFit="1" customWidth="1"/>
    <col min="2569" max="2816" width="9" style="1"/>
    <col min="2817" max="2817" width="7" style="1" customWidth="1"/>
    <col min="2818" max="2818" width="51.375" style="1" customWidth="1"/>
    <col min="2819" max="2819" width="6.625" style="1" customWidth="1"/>
    <col min="2820" max="2820" width="11.75" style="1" customWidth="1"/>
    <col min="2821" max="2821" width="11.375" style="1" customWidth="1"/>
    <col min="2822" max="2822" width="7.125" style="1" customWidth="1"/>
    <col min="2823" max="2823" width="9" style="1"/>
    <col min="2824" max="2824" width="9.875" style="1" bestFit="1" customWidth="1"/>
    <col min="2825" max="3072" width="9" style="1"/>
    <col min="3073" max="3073" width="7" style="1" customWidth="1"/>
    <col min="3074" max="3074" width="51.375" style="1" customWidth="1"/>
    <col min="3075" max="3075" width="6.625" style="1" customWidth="1"/>
    <col min="3076" max="3076" width="11.75" style="1" customWidth="1"/>
    <col min="3077" max="3077" width="11.375" style="1" customWidth="1"/>
    <col min="3078" max="3078" width="7.125" style="1" customWidth="1"/>
    <col min="3079" max="3079" width="9" style="1"/>
    <col min="3080" max="3080" width="9.875" style="1" bestFit="1" customWidth="1"/>
    <col min="3081" max="3328" width="9" style="1"/>
    <col min="3329" max="3329" width="7" style="1" customWidth="1"/>
    <col min="3330" max="3330" width="51.375" style="1" customWidth="1"/>
    <col min="3331" max="3331" width="6.625" style="1" customWidth="1"/>
    <col min="3332" max="3332" width="11.75" style="1" customWidth="1"/>
    <col min="3333" max="3333" width="11.375" style="1" customWidth="1"/>
    <col min="3334" max="3334" width="7.125" style="1" customWidth="1"/>
    <col min="3335" max="3335" width="9" style="1"/>
    <col min="3336" max="3336" width="9.875" style="1" bestFit="1" customWidth="1"/>
    <col min="3337" max="3584" width="9" style="1"/>
    <col min="3585" max="3585" width="7" style="1" customWidth="1"/>
    <col min="3586" max="3586" width="51.375" style="1" customWidth="1"/>
    <col min="3587" max="3587" width="6.625" style="1" customWidth="1"/>
    <col min="3588" max="3588" width="11.75" style="1" customWidth="1"/>
    <col min="3589" max="3589" width="11.375" style="1" customWidth="1"/>
    <col min="3590" max="3590" width="7.125" style="1" customWidth="1"/>
    <col min="3591" max="3591" width="9" style="1"/>
    <col min="3592" max="3592" width="9.875" style="1" bestFit="1" customWidth="1"/>
    <col min="3593" max="3840" width="9" style="1"/>
    <col min="3841" max="3841" width="7" style="1" customWidth="1"/>
    <col min="3842" max="3842" width="51.375" style="1" customWidth="1"/>
    <col min="3843" max="3843" width="6.625" style="1" customWidth="1"/>
    <col min="3844" max="3844" width="11.75" style="1" customWidth="1"/>
    <col min="3845" max="3845" width="11.375" style="1" customWidth="1"/>
    <col min="3846" max="3846" width="7.125" style="1" customWidth="1"/>
    <col min="3847" max="3847" width="9" style="1"/>
    <col min="3848" max="3848" width="9.875" style="1" bestFit="1" customWidth="1"/>
    <col min="3849" max="4096" width="9" style="1"/>
    <col min="4097" max="4097" width="7" style="1" customWidth="1"/>
    <col min="4098" max="4098" width="51.375" style="1" customWidth="1"/>
    <col min="4099" max="4099" width="6.625" style="1" customWidth="1"/>
    <col min="4100" max="4100" width="11.75" style="1" customWidth="1"/>
    <col min="4101" max="4101" width="11.375" style="1" customWidth="1"/>
    <col min="4102" max="4102" width="7.125" style="1" customWidth="1"/>
    <col min="4103" max="4103" width="9" style="1"/>
    <col min="4104" max="4104" width="9.875" style="1" bestFit="1" customWidth="1"/>
    <col min="4105" max="4352" width="9" style="1"/>
    <col min="4353" max="4353" width="7" style="1" customWidth="1"/>
    <col min="4354" max="4354" width="51.375" style="1" customWidth="1"/>
    <col min="4355" max="4355" width="6.625" style="1" customWidth="1"/>
    <col min="4356" max="4356" width="11.75" style="1" customWidth="1"/>
    <col min="4357" max="4357" width="11.375" style="1" customWidth="1"/>
    <col min="4358" max="4358" width="7.125" style="1" customWidth="1"/>
    <col min="4359" max="4359" width="9" style="1"/>
    <col min="4360" max="4360" width="9.875" style="1" bestFit="1" customWidth="1"/>
    <col min="4361" max="4608" width="9" style="1"/>
    <col min="4609" max="4609" width="7" style="1" customWidth="1"/>
    <col min="4610" max="4610" width="51.375" style="1" customWidth="1"/>
    <col min="4611" max="4611" width="6.625" style="1" customWidth="1"/>
    <col min="4612" max="4612" width="11.75" style="1" customWidth="1"/>
    <col min="4613" max="4613" width="11.375" style="1" customWidth="1"/>
    <col min="4614" max="4614" width="7.125" style="1" customWidth="1"/>
    <col min="4615" max="4615" width="9" style="1"/>
    <col min="4616" max="4616" width="9.875" style="1" bestFit="1" customWidth="1"/>
    <col min="4617" max="4864" width="9" style="1"/>
    <col min="4865" max="4865" width="7" style="1" customWidth="1"/>
    <col min="4866" max="4866" width="51.375" style="1" customWidth="1"/>
    <col min="4867" max="4867" width="6.625" style="1" customWidth="1"/>
    <col min="4868" max="4868" width="11.75" style="1" customWidth="1"/>
    <col min="4869" max="4869" width="11.375" style="1" customWidth="1"/>
    <col min="4870" max="4870" width="7.125" style="1" customWidth="1"/>
    <col min="4871" max="4871" width="9" style="1"/>
    <col min="4872" max="4872" width="9.875" style="1" bestFit="1" customWidth="1"/>
    <col min="4873" max="5120" width="9" style="1"/>
    <col min="5121" max="5121" width="7" style="1" customWidth="1"/>
    <col min="5122" max="5122" width="51.375" style="1" customWidth="1"/>
    <col min="5123" max="5123" width="6.625" style="1" customWidth="1"/>
    <col min="5124" max="5124" width="11.75" style="1" customWidth="1"/>
    <col min="5125" max="5125" width="11.375" style="1" customWidth="1"/>
    <col min="5126" max="5126" width="7.125" style="1" customWidth="1"/>
    <col min="5127" max="5127" width="9" style="1"/>
    <col min="5128" max="5128" width="9.875" style="1" bestFit="1" customWidth="1"/>
    <col min="5129" max="5376" width="9" style="1"/>
    <col min="5377" max="5377" width="7" style="1" customWidth="1"/>
    <col min="5378" max="5378" width="51.375" style="1" customWidth="1"/>
    <col min="5379" max="5379" width="6.625" style="1" customWidth="1"/>
    <col min="5380" max="5380" width="11.75" style="1" customWidth="1"/>
    <col min="5381" max="5381" width="11.375" style="1" customWidth="1"/>
    <col min="5382" max="5382" width="7.125" style="1" customWidth="1"/>
    <col min="5383" max="5383" width="9" style="1"/>
    <col min="5384" max="5384" width="9.875" style="1" bestFit="1" customWidth="1"/>
    <col min="5385" max="5632" width="9" style="1"/>
    <col min="5633" max="5633" width="7" style="1" customWidth="1"/>
    <col min="5634" max="5634" width="51.375" style="1" customWidth="1"/>
    <col min="5635" max="5635" width="6.625" style="1" customWidth="1"/>
    <col min="5636" max="5636" width="11.75" style="1" customWidth="1"/>
    <col min="5637" max="5637" width="11.375" style="1" customWidth="1"/>
    <col min="5638" max="5638" width="7.125" style="1" customWidth="1"/>
    <col min="5639" max="5639" width="9" style="1"/>
    <col min="5640" max="5640" width="9.875" style="1" bestFit="1" customWidth="1"/>
    <col min="5641" max="5888" width="9" style="1"/>
    <col min="5889" max="5889" width="7" style="1" customWidth="1"/>
    <col min="5890" max="5890" width="51.375" style="1" customWidth="1"/>
    <col min="5891" max="5891" width="6.625" style="1" customWidth="1"/>
    <col min="5892" max="5892" width="11.75" style="1" customWidth="1"/>
    <col min="5893" max="5893" width="11.375" style="1" customWidth="1"/>
    <col min="5894" max="5894" width="7.125" style="1" customWidth="1"/>
    <col min="5895" max="5895" width="9" style="1"/>
    <col min="5896" max="5896" width="9.875" style="1" bestFit="1" customWidth="1"/>
    <col min="5897" max="6144" width="9" style="1"/>
    <col min="6145" max="6145" width="7" style="1" customWidth="1"/>
    <col min="6146" max="6146" width="51.375" style="1" customWidth="1"/>
    <col min="6147" max="6147" width="6.625" style="1" customWidth="1"/>
    <col min="6148" max="6148" width="11.75" style="1" customWidth="1"/>
    <col min="6149" max="6149" width="11.375" style="1" customWidth="1"/>
    <col min="6150" max="6150" width="7.125" style="1" customWidth="1"/>
    <col min="6151" max="6151" width="9" style="1"/>
    <col min="6152" max="6152" width="9.875" style="1" bestFit="1" customWidth="1"/>
    <col min="6153" max="6400" width="9" style="1"/>
    <col min="6401" max="6401" width="7" style="1" customWidth="1"/>
    <col min="6402" max="6402" width="51.375" style="1" customWidth="1"/>
    <col min="6403" max="6403" width="6.625" style="1" customWidth="1"/>
    <col min="6404" max="6404" width="11.75" style="1" customWidth="1"/>
    <col min="6405" max="6405" width="11.375" style="1" customWidth="1"/>
    <col min="6406" max="6406" width="7.125" style="1" customWidth="1"/>
    <col min="6407" max="6407" width="9" style="1"/>
    <col min="6408" max="6408" width="9.875" style="1" bestFit="1" customWidth="1"/>
    <col min="6409" max="6656" width="9" style="1"/>
    <col min="6657" max="6657" width="7" style="1" customWidth="1"/>
    <col min="6658" max="6658" width="51.375" style="1" customWidth="1"/>
    <col min="6659" max="6659" width="6.625" style="1" customWidth="1"/>
    <col min="6660" max="6660" width="11.75" style="1" customWidth="1"/>
    <col min="6661" max="6661" width="11.375" style="1" customWidth="1"/>
    <col min="6662" max="6662" width="7.125" style="1" customWidth="1"/>
    <col min="6663" max="6663" width="9" style="1"/>
    <col min="6664" max="6664" width="9.875" style="1" bestFit="1" customWidth="1"/>
    <col min="6665" max="6912" width="9" style="1"/>
    <col min="6913" max="6913" width="7" style="1" customWidth="1"/>
    <col min="6914" max="6914" width="51.375" style="1" customWidth="1"/>
    <col min="6915" max="6915" width="6.625" style="1" customWidth="1"/>
    <col min="6916" max="6916" width="11.75" style="1" customWidth="1"/>
    <col min="6917" max="6917" width="11.375" style="1" customWidth="1"/>
    <col min="6918" max="6918" width="7.125" style="1" customWidth="1"/>
    <col min="6919" max="6919" width="9" style="1"/>
    <col min="6920" max="6920" width="9.875" style="1" bestFit="1" customWidth="1"/>
    <col min="6921" max="7168" width="9" style="1"/>
    <col min="7169" max="7169" width="7" style="1" customWidth="1"/>
    <col min="7170" max="7170" width="51.375" style="1" customWidth="1"/>
    <col min="7171" max="7171" width="6.625" style="1" customWidth="1"/>
    <col min="7172" max="7172" width="11.75" style="1" customWidth="1"/>
    <col min="7173" max="7173" width="11.375" style="1" customWidth="1"/>
    <col min="7174" max="7174" width="7.125" style="1" customWidth="1"/>
    <col min="7175" max="7175" width="9" style="1"/>
    <col min="7176" max="7176" width="9.875" style="1" bestFit="1" customWidth="1"/>
    <col min="7177" max="7424" width="9" style="1"/>
    <col min="7425" max="7425" width="7" style="1" customWidth="1"/>
    <col min="7426" max="7426" width="51.375" style="1" customWidth="1"/>
    <col min="7427" max="7427" width="6.625" style="1" customWidth="1"/>
    <col min="7428" max="7428" width="11.75" style="1" customWidth="1"/>
    <col min="7429" max="7429" width="11.375" style="1" customWidth="1"/>
    <col min="7430" max="7430" width="7.125" style="1" customWidth="1"/>
    <col min="7431" max="7431" width="9" style="1"/>
    <col min="7432" max="7432" width="9.875" style="1" bestFit="1" customWidth="1"/>
    <col min="7433" max="7680" width="9" style="1"/>
    <col min="7681" max="7681" width="7" style="1" customWidth="1"/>
    <col min="7682" max="7682" width="51.375" style="1" customWidth="1"/>
    <col min="7683" max="7683" width="6.625" style="1" customWidth="1"/>
    <col min="7684" max="7684" width="11.75" style="1" customWidth="1"/>
    <col min="7685" max="7685" width="11.375" style="1" customWidth="1"/>
    <col min="7686" max="7686" width="7.125" style="1" customWidth="1"/>
    <col min="7687" max="7687" width="9" style="1"/>
    <col min="7688" max="7688" width="9.875" style="1" bestFit="1" customWidth="1"/>
    <col min="7689" max="7936" width="9" style="1"/>
    <col min="7937" max="7937" width="7" style="1" customWidth="1"/>
    <col min="7938" max="7938" width="51.375" style="1" customWidth="1"/>
    <col min="7939" max="7939" width="6.625" style="1" customWidth="1"/>
    <col min="7940" max="7940" width="11.75" style="1" customWidth="1"/>
    <col min="7941" max="7941" width="11.375" style="1" customWidth="1"/>
    <col min="7942" max="7942" width="7.125" style="1" customWidth="1"/>
    <col min="7943" max="7943" width="9" style="1"/>
    <col min="7944" max="7944" width="9.875" style="1" bestFit="1" customWidth="1"/>
    <col min="7945" max="8192" width="9" style="1"/>
    <col min="8193" max="8193" width="7" style="1" customWidth="1"/>
    <col min="8194" max="8194" width="51.375" style="1" customWidth="1"/>
    <col min="8195" max="8195" width="6.625" style="1" customWidth="1"/>
    <col min="8196" max="8196" width="11.75" style="1" customWidth="1"/>
    <col min="8197" max="8197" width="11.375" style="1" customWidth="1"/>
    <col min="8198" max="8198" width="7.125" style="1" customWidth="1"/>
    <col min="8199" max="8199" width="9" style="1"/>
    <col min="8200" max="8200" width="9.875" style="1" bestFit="1" customWidth="1"/>
    <col min="8201" max="8448" width="9" style="1"/>
    <col min="8449" max="8449" width="7" style="1" customWidth="1"/>
    <col min="8450" max="8450" width="51.375" style="1" customWidth="1"/>
    <col min="8451" max="8451" width="6.625" style="1" customWidth="1"/>
    <col min="8452" max="8452" width="11.75" style="1" customWidth="1"/>
    <col min="8453" max="8453" width="11.375" style="1" customWidth="1"/>
    <col min="8454" max="8454" width="7.125" style="1" customWidth="1"/>
    <col min="8455" max="8455" width="9" style="1"/>
    <col min="8456" max="8456" width="9.875" style="1" bestFit="1" customWidth="1"/>
    <col min="8457" max="8704" width="9" style="1"/>
    <col min="8705" max="8705" width="7" style="1" customWidth="1"/>
    <col min="8706" max="8706" width="51.375" style="1" customWidth="1"/>
    <col min="8707" max="8707" width="6.625" style="1" customWidth="1"/>
    <col min="8708" max="8708" width="11.75" style="1" customWidth="1"/>
    <col min="8709" max="8709" width="11.375" style="1" customWidth="1"/>
    <col min="8710" max="8710" width="7.125" style="1" customWidth="1"/>
    <col min="8711" max="8711" width="9" style="1"/>
    <col min="8712" max="8712" width="9.875" style="1" bestFit="1" customWidth="1"/>
    <col min="8713" max="8960" width="9" style="1"/>
    <col min="8961" max="8961" width="7" style="1" customWidth="1"/>
    <col min="8962" max="8962" width="51.375" style="1" customWidth="1"/>
    <col min="8963" max="8963" width="6.625" style="1" customWidth="1"/>
    <col min="8964" max="8964" width="11.75" style="1" customWidth="1"/>
    <col min="8965" max="8965" width="11.375" style="1" customWidth="1"/>
    <col min="8966" max="8966" width="7.125" style="1" customWidth="1"/>
    <col min="8967" max="8967" width="9" style="1"/>
    <col min="8968" max="8968" width="9.875" style="1" bestFit="1" customWidth="1"/>
    <col min="8969" max="9216" width="9" style="1"/>
    <col min="9217" max="9217" width="7" style="1" customWidth="1"/>
    <col min="9218" max="9218" width="51.375" style="1" customWidth="1"/>
    <col min="9219" max="9219" width="6.625" style="1" customWidth="1"/>
    <col min="9220" max="9220" width="11.75" style="1" customWidth="1"/>
    <col min="9221" max="9221" width="11.375" style="1" customWidth="1"/>
    <col min="9222" max="9222" width="7.125" style="1" customWidth="1"/>
    <col min="9223" max="9223" width="9" style="1"/>
    <col min="9224" max="9224" width="9.875" style="1" bestFit="1" customWidth="1"/>
    <col min="9225" max="9472" width="9" style="1"/>
    <col min="9473" max="9473" width="7" style="1" customWidth="1"/>
    <col min="9474" max="9474" width="51.375" style="1" customWidth="1"/>
    <col min="9475" max="9475" width="6.625" style="1" customWidth="1"/>
    <col min="9476" max="9476" width="11.75" style="1" customWidth="1"/>
    <col min="9477" max="9477" width="11.375" style="1" customWidth="1"/>
    <col min="9478" max="9478" width="7.125" style="1" customWidth="1"/>
    <col min="9479" max="9479" width="9" style="1"/>
    <col min="9480" max="9480" width="9.875" style="1" bestFit="1" customWidth="1"/>
    <col min="9481" max="9728" width="9" style="1"/>
    <col min="9729" max="9729" width="7" style="1" customWidth="1"/>
    <col min="9730" max="9730" width="51.375" style="1" customWidth="1"/>
    <col min="9731" max="9731" width="6.625" style="1" customWidth="1"/>
    <col min="9732" max="9732" width="11.75" style="1" customWidth="1"/>
    <col min="9733" max="9733" width="11.375" style="1" customWidth="1"/>
    <col min="9734" max="9734" width="7.125" style="1" customWidth="1"/>
    <col min="9735" max="9735" width="9" style="1"/>
    <col min="9736" max="9736" width="9.875" style="1" bestFit="1" customWidth="1"/>
    <col min="9737" max="9984" width="9" style="1"/>
    <col min="9985" max="9985" width="7" style="1" customWidth="1"/>
    <col min="9986" max="9986" width="51.375" style="1" customWidth="1"/>
    <col min="9987" max="9987" width="6.625" style="1" customWidth="1"/>
    <col min="9988" max="9988" width="11.75" style="1" customWidth="1"/>
    <col min="9989" max="9989" width="11.375" style="1" customWidth="1"/>
    <col min="9990" max="9990" width="7.125" style="1" customWidth="1"/>
    <col min="9991" max="9991" width="9" style="1"/>
    <col min="9992" max="9992" width="9.875" style="1" bestFit="1" customWidth="1"/>
    <col min="9993" max="10240" width="9" style="1"/>
    <col min="10241" max="10241" width="7" style="1" customWidth="1"/>
    <col min="10242" max="10242" width="51.375" style="1" customWidth="1"/>
    <col min="10243" max="10243" width="6.625" style="1" customWidth="1"/>
    <col min="10244" max="10244" width="11.75" style="1" customWidth="1"/>
    <col min="10245" max="10245" width="11.375" style="1" customWidth="1"/>
    <col min="10246" max="10246" width="7.125" style="1" customWidth="1"/>
    <col min="10247" max="10247" width="9" style="1"/>
    <col min="10248" max="10248" width="9.875" style="1" bestFit="1" customWidth="1"/>
    <col min="10249" max="10496" width="9" style="1"/>
    <col min="10497" max="10497" width="7" style="1" customWidth="1"/>
    <col min="10498" max="10498" width="51.375" style="1" customWidth="1"/>
    <col min="10499" max="10499" width="6.625" style="1" customWidth="1"/>
    <col min="10500" max="10500" width="11.75" style="1" customWidth="1"/>
    <col min="10501" max="10501" width="11.375" style="1" customWidth="1"/>
    <col min="10502" max="10502" width="7.125" style="1" customWidth="1"/>
    <col min="10503" max="10503" width="9" style="1"/>
    <col min="10504" max="10504" width="9.875" style="1" bestFit="1" customWidth="1"/>
    <col min="10505" max="10752" width="9" style="1"/>
    <col min="10753" max="10753" width="7" style="1" customWidth="1"/>
    <col min="10754" max="10754" width="51.375" style="1" customWidth="1"/>
    <col min="10755" max="10755" width="6.625" style="1" customWidth="1"/>
    <col min="10756" max="10756" width="11.75" style="1" customWidth="1"/>
    <col min="10757" max="10757" width="11.375" style="1" customWidth="1"/>
    <col min="10758" max="10758" width="7.125" style="1" customWidth="1"/>
    <col min="10759" max="10759" width="9" style="1"/>
    <col min="10760" max="10760" width="9.875" style="1" bestFit="1" customWidth="1"/>
    <col min="10761" max="11008" width="9" style="1"/>
    <col min="11009" max="11009" width="7" style="1" customWidth="1"/>
    <col min="11010" max="11010" width="51.375" style="1" customWidth="1"/>
    <col min="11011" max="11011" width="6.625" style="1" customWidth="1"/>
    <col min="11012" max="11012" width="11.75" style="1" customWidth="1"/>
    <col min="11013" max="11013" width="11.375" style="1" customWidth="1"/>
    <col min="11014" max="11014" width="7.125" style="1" customWidth="1"/>
    <col min="11015" max="11015" width="9" style="1"/>
    <col min="11016" max="11016" width="9.875" style="1" bestFit="1" customWidth="1"/>
    <col min="11017" max="11264" width="9" style="1"/>
    <col min="11265" max="11265" width="7" style="1" customWidth="1"/>
    <col min="11266" max="11266" width="51.375" style="1" customWidth="1"/>
    <col min="11267" max="11267" width="6.625" style="1" customWidth="1"/>
    <col min="11268" max="11268" width="11.75" style="1" customWidth="1"/>
    <col min="11269" max="11269" width="11.375" style="1" customWidth="1"/>
    <col min="11270" max="11270" width="7.125" style="1" customWidth="1"/>
    <col min="11271" max="11271" width="9" style="1"/>
    <col min="11272" max="11272" width="9.875" style="1" bestFit="1" customWidth="1"/>
    <col min="11273" max="11520" width="9" style="1"/>
    <col min="11521" max="11521" width="7" style="1" customWidth="1"/>
    <col min="11522" max="11522" width="51.375" style="1" customWidth="1"/>
    <col min="11523" max="11523" width="6.625" style="1" customWidth="1"/>
    <col min="11524" max="11524" width="11.75" style="1" customWidth="1"/>
    <col min="11525" max="11525" width="11.375" style="1" customWidth="1"/>
    <col min="11526" max="11526" width="7.125" style="1" customWidth="1"/>
    <col min="11527" max="11527" width="9" style="1"/>
    <col min="11528" max="11528" width="9.875" style="1" bestFit="1" customWidth="1"/>
    <col min="11529" max="11776" width="9" style="1"/>
    <col min="11777" max="11777" width="7" style="1" customWidth="1"/>
    <col min="11778" max="11778" width="51.375" style="1" customWidth="1"/>
    <col min="11779" max="11779" width="6.625" style="1" customWidth="1"/>
    <col min="11780" max="11780" width="11.75" style="1" customWidth="1"/>
    <col min="11781" max="11781" width="11.375" style="1" customWidth="1"/>
    <col min="11782" max="11782" width="7.125" style="1" customWidth="1"/>
    <col min="11783" max="11783" width="9" style="1"/>
    <col min="11784" max="11784" width="9.875" style="1" bestFit="1" customWidth="1"/>
    <col min="11785" max="12032" width="9" style="1"/>
    <col min="12033" max="12033" width="7" style="1" customWidth="1"/>
    <col min="12034" max="12034" width="51.375" style="1" customWidth="1"/>
    <col min="12035" max="12035" width="6.625" style="1" customWidth="1"/>
    <col min="12036" max="12036" width="11.75" style="1" customWidth="1"/>
    <col min="12037" max="12037" width="11.375" style="1" customWidth="1"/>
    <col min="12038" max="12038" width="7.125" style="1" customWidth="1"/>
    <col min="12039" max="12039" width="9" style="1"/>
    <col min="12040" max="12040" width="9.875" style="1" bestFit="1" customWidth="1"/>
    <col min="12041" max="12288" width="9" style="1"/>
    <col min="12289" max="12289" width="7" style="1" customWidth="1"/>
    <col min="12290" max="12290" width="51.375" style="1" customWidth="1"/>
    <col min="12291" max="12291" width="6.625" style="1" customWidth="1"/>
    <col min="12292" max="12292" width="11.75" style="1" customWidth="1"/>
    <col min="12293" max="12293" width="11.375" style="1" customWidth="1"/>
    <col min="12294" max="12294" width="7.125" style="1" customWidth="1"/>
    <col min="12295" max="12295" width="9" style="1"/>
    <col min="12296" max="12296" width="9.875" style="1" bestFit="1" customWidth="1"/>
    <col min="12297" max="12544" width="9" style="1"/>
    <col min="12545" max="12545" width="7" style="1" customWidth="1"/>
    <col min="12546" max="12546" width="51.375" style="1" customWidth="1"/>
    <col min="12547" max="12547" width="6.625" style="1" customWidth="1"/>
    <col min="12548" max="12548" width="11.75" style="1" customWidth="1"/>
    <col min="12549" max="12549" width="11.375" style="1" customWidth="1"/>
    <col min="12550" max="12550" width="7.125" style="1" customWidth="1"/>
    <col min="12551" max="12551" width="9" style="1"/>
    <col min="12552" max="12552" width="9.875" style="1" bestFit="1" customWidth="1"/>
    <col min="12553" max="12800" width="9" style="1"/>
    <col min="12801" max="12801" width="7" style="1" customWidth="1"/>
    <col min="12802" max="12802" width="51.375" style="1" customWidth="1"/>
    <col min="12803" max="12803" width="6.625" style="1" customWidth="1"/>
    <col min="12804" max="12804" width="11.75" style="1" customWidth="1"/>
    <col min="12805" max="12805" width="11.375" style="1" customWidth="1"/>
    <col min="12806" max="12806" width="7.125" style="1" customWidth="1"/>
    <col min="12807" max="12807" width="9" style="1"/>
    <col min="12808" max="12808" width="9.875" style="1" bestFit="1" customWidth="1"/>
    <col min="12809" max="13056" width="9" style="1"/>
    <col min="13057" max="13057" width="7" style="1" customWidth="1"/>
    <col min="13058" max="13058" width="51.375" style="1" customWidth="1"/>
    <col min="13059" max="13059" width="6.625" style="1" customWidth="1"/>
    <col min="13060" max="13060" width="11.75" style="1" customWidth="1"/>
    <col min="13061" max="13061" width="11.375" style="1" customWidth="1"/>
    <col min="13062" max="13062" width="7.125" style="1" customWidth="1"/>
    <col min="13063" max="13063" width="9" style="1"/>
    <col min="13064" max="13064" width="9.875" style="1" bestFit="1" customWidth="1"/>
    <col min="13065" max="13312" width="9" style="1"/>
    <col min="13313" max="13313" width="7" style="1" customWidth="1"/>
    <col min="13314" max="13314" width="51.375" style="1" customWidth="1"/>
    <col min="13315" max="13315" width="6.625" style="1" customWidth="1"/>
    <col min="13316" max="13316" width="11.75" style="1" customWidth="1"/>
    <col min="13317" max="13317" width="11.375" style="1" customWidth="1"/>
    <col min="13318" max="13318" width="7.125" style="1" customWidth="1"/>
    <col min="13319" max="13319" width="9" style="1"/>
    <col min="13320" max="13320" width="9.875" style="1" bestFit="1" customWidth="1"/>
    <col min="13321" max="13568" width="9" style="1"/>
    <col min="13569" max="13569" width="7" style="1" customWidth="1"/>
    <col min="13570" max="13570" width="51.375" style="1" customWidth="1"/>
    <col min="13571" max="13571" width="6.625" style="1" customWidth="1"/>
    <col min="13572" max="13572" width="11.75" style="1" customWidth="1"/>
    <col min="13573" max="13573" width="11.375" style="1" customWidth="1"/>
    <col min="13574" max="13574" width="7.125" style="1" customWidth="1"/>
    <col min="13575" max="13575" width="9" style="1"/>
    <col min="13576" max="13576" width="9.875" style="1" bestFit="1" customWidth="1"/>
    <col min="13577" max="13824" width="9" style="1"/>
    <col min="13825" max="13825" width="7" style="1" customWidth="1"/>
    <col min="13826" max="13826" width="51.375" style="1" customWidth="1"/>
    <col min="13827" max="13827" width="6.625" style="1" customWidth="1"/>
    <col min="13828" max="13828" width="11.75" style="1" customWidth="1"/>
    <col min="13829" max="13829" width="11.375" style="1" customWidth="1"/>
    <col min="13830" max="13830" width="7.125" style="1" customWidth="1"/>
    <col min="13831" max="13831" width="9" style="1"/>
    <col min="13832" max="13832" width="9.875" style="1" bestFit="1" customWidth="1"/>
    <col min="13833" max="14080" width="9" style="1"/>
    <col min="14081" max="14081" width="7" style="1" customWidth="1"/>
    <col min="14082" max="14082" width="51.375" style="1" customWidth="1"/>
    <col min="14083" max="14083" width="6.625" style="1" customWidth="1"/>
    <col min="14084" max="14084" width="11.75" style="1" customWidth="1"/>
    <col min="14085" max="14085" width="11.375" style="1" customWidth="1"/>
    <col min="14086" max="14086" width="7.125" style="1" customWidth="1"/>
    <col min="14087" max="14087" width="9" style="1"/>
    <col min="14088" max="14088" width="9.875" style="1" bestFit="1" customWidth="1"/>
    <col min="14089" max="14336" width="9" style="1"/>
    <col min="14337" max="14337" width="7" style="1" customWidth="1"/>
    <col min="14338" max="14338" width="51.375" style="1" customWidth="1"/>
    <col min="14339" max="14339" width="6.625" style="1" customWidth="1"/>
    <col min="14340" max="14340" width="11.75" style="1" customWidth="1"/>
    <col min="14341" max="14341" width="11.375" style="1" customWidth="1"/>
    <col min="14342" max="14342" width="7.125" style="1" customWidth="1"/>
    <col min="14343" max="14343" width="9" style="1"/>
    <col min="14344" max="14344" width="9.875" style="1" bestFit="1" customWidth="1"/>
    <col min="14345" max="14592" width="9" style="1"/>
    <col min="14593" max="14593" width="7" style="1" customWidth="1"/>
    <col min="14594" max="14594" width="51.375" style="1" customWidth="1"/>
    <col min="14595" max="14595" width="6.625" style="1" customWidth="1"/>
    <col min="14596" max="14596" width="11.75" style="1" customWidth="1"/>
    <col min="14597" max="14597" width="11.375" style="1" customWidth="1"/>
    <col min="14598" max="14598" width="7.125" style="1" customWidth="1"/>
    <col min="14599" max="14599" width="9" style="1"/>
    <col min="14600" max="14600" width="9.875" style="1" bestFit="1" customWidth="1"/>
    <col min="14601" max="14848" width="9" style="1"/>
    <col min="14849" max="14849" width="7" style="1" customWidth="1"/>
    <col min="14850" max="14850" width="51.375" style="1" customWidth="1"/>
    <col min="14851" max="14851" width="6.625" style="1" customWidth="1"/>
    <col min="14852" max="14852" width="11.75" style="1" customWidth="1"/>
    <col min="14853" max="14853" width="11.375" style="1" customWidth="1"/>
    <col min="14854" max="14854" width="7.125" style="1" customWidth="1"/>
    <col min="14855" max="14855" width="9" style="1"/>
    <col min="14856" max="14856" width="9.875" style="1" bestFit="1" customWidth="1"/>
    <col min="14857" max="15104" width="9" style="1"/>
    <col min="15105" max="15105" width="7" style="1" customWidth="1"/>
    <col min="15106" max="15106" width="51.375" style="1" customWidth="1"/>
    <col min="15107" max="15107" width="6.625" style="1" customWidth="1"/>
    <col min="15108" max="15108" width="11.75" style="1" customWidth="1"/>
    <col min="15109" max="15109" width="11.375" style="1" customWidth="1"/>
    <col min="15110" max="15110" width="7.125" style="1" customWidth="1"/>
    <col min="15111" max="15111" width="9" style="1"/>
    <col min="15112" max="15112" width="9.875" style="1" bestFit="1" customWidth="1"/>
    <col min="15113" max="15360" width="9" style="1"/>
    <col min="15361" max="15361" width="7" style="1" customWidth="1"/>
    <col min="15362" max="15362" width="51.375" style="1" customWidth="1"/>
    <col min="15363" max="15363" width="6.625" style="1" customWidth="1"/>
    <col min="15364" max="15364" width="11.75" style="1" customWidth="1"/>
    <col min="15365" max="15365" width="11.375" style="1" customWidth="1"/>
    <col min="15366" max="15366" width="7.125" style="1" customWidth="1"/>
    <col min="15367" max="15367" width="9" style="1"/>
    <col min="15368" max="15368" width="9.875" style="1" bestFit="1" customWidth="1"/>
    <col min="15369" max="15616" width="9" style="1"/>
    <col min="15617" max="15617" width="7" style="1" customWidth="1"/>
    <col min="15618" max="15618" width="51.375" style="1" customWidth="1"/>
    <col min="15619" max="15619" width="6.625" style="1" customWidth="1"/>
    <col min="15620" max="15620" width="11.75" style="1" customWidth="1"/>
    <col min="15621" max="15621" width="11.375" style="1" customWidth="1"/>
    <col min="15622" max="15622" width="7.125" style="1" customWidth="1"/>
    <col min="15623" max="15623" width="9" style="1"/>
    <col min="15624" max="15624" width="9.875" style="1" bestFit="1" customWidth="1"/>
    <col min="15625" max="15872" width="9" style="1"/>
    <col min="15873" max="15873" width="7" style="1" customWidth="1"/>
    <col min="15874" max="15874" width="51.375" style="1" customWidth="1"/>
    <col min="15875" max="15875" width="6.625" style="1" customWidth="1"/>
    <col min="15876" max="15876" width="11.75" style="1" customWidth="1"/>
    <col min="15877" max="15877" width="11.375" style="1" customWidth="1"/>
    <col min="15878" max="15878" width="7.125" style="1" customWidth="1"/>
    <col min="15879" max="15879" width="9" style="1"/>
    <col min="15880" max="15880" width="9.875" style="1" bestFit="1" customWidth="1"/>
    <col min="15881" max="16128" width="9" style="1"/>
    <col min="16129" max="16129" width="7" style="1" customWidth="1"/>
    <col min="16130" max="16130" width="51.375" style="1" customWidth="1"/>
    <col min="16131" max="16131" width="6.625" style="1" customWidth="1"/>
    <col min="16132" max="16132" width="11.75" style="1" customWidth="1"/>
    <col min="16133" max="16133" width="11.375" style="1" customWidth="1"/>
    <col min="16134" max="16134" width="7.125" style="1" customWidth="1"/>
    <col min="16135" max="16135" width="9" style="1"/>
    <col min="16136" max="16136" width="9.875" style="1" bestFit="1" customWidth="1"/>
    <col min="16137" max="16384" width="9" style="1"/>
  </cols>
  <sheetData>
    <row r="1" spans="1:10" ht="24" customHeight="1" x14ac:dyDescent="0.15">
      <c r="A1" s="81" t="s">
        <v>244</v>
      </c>
      <c r="D1" s="123">
        <v>38657</v>
      </c>
    </row>
    <row r="2" spans="1:10" ht="21.75" customHeight="1" x14ac:dyDescent="0.15">
      <c r="C2" s="1" t="s">
        <v>158</v>
      </c>
    </row>
    <row r="3" spans="1:10" ht="18" customHeight="1" x14ac:dyDescent="0.15">
      <c r="A3" s="48"/>
      <c r="B3" s="66" t="s">
        <v>127</v>
      </c>
      <c r="D3" s="67" t="str">
        <f>"仕上り"&amp;D25&amp;"割"</f>
        <v>仕上り2割</v>
      </c>
      <c r="E3" s="67" t="str">
        <f>"仕上り"&amp;E25&amp;"割"</f>
        <v>仕上り2割</v>
      </c>
      <c r="J3" s="83"/>
    </row>
    <row r="4" spans="1:10" ht="18" customHeight="1" x14ac:dyDescent="0.15">
      <c r="A4" s="21" t="s">
        <v>4</v>
      </c>
      <c r="B4" s="21" t="s">
        <v>5</v>
      </c>
      <c r="C4" s="21" t="s">
        <v>7</v>
      </c>
      <c r="D4" s="68" t="str">
        <f>"下地"&amp;D24&amp;"割"</f>
        <v>下地1.5割</v>
      </c>
      <c r="E4" s="68" t="str">
        <f>"下地"&amp;E24&amp;"割"</f>
        <v>下地1.5割</v>
      </c>
    </row>
    <row r="5" spans="1:10" ht="18" customHeight="1" x14ac:dyDescent="0.15">
      <c r="A5" s="21" t="s">
        <v>159</v>
      </c>
      <c r="B5" s="14" t="s">
        <v>160</v>
      </c>
      <c r="C5" s="69" t="s">
        <v>161</v>
      </c>
      <c r="D5" s="72">
        <f>D9*((D13-D10/SIN(D14*PI()/180)-D12*TAN(D14*PI()/180))*((D8*COS(D14*PI()/180))/2+D12)+(D12*D12*TAN(D14*PI()/180))/2)</f>
        <v>154.78298199144055</v>
      </c>
      <c r="E5" s="72">
        <f>E9*((E13-E10/SIN(E14*PI()/180)-E12*TAN(E14*PI()/180))*((E8*COS(E14*PI()/180))/2+E12)+(E12*E12*TAN(E14*PI()/180))/2)</f>
        <v>154.78298199144055</v>
      </c>
    </row>
    <row r="6" spans="1:10" ht="18" customHeight="1" x14ac:dyDescent="0.15">
      <c r="A6" s="21" t="s">
        <v>162</v>
      </c>
      <c r="B6" s="14" t="s">
        <v>163</v>
      </c>
      <c r="C6" s="69" t="s">
        <v>161</v>
      </c>
      <c r="D6" s="72">
        <f>D9/(2*TAN(D15*PI()/180))*SUMSQ((D13-D10/SIN(D14*PI()/180)-D12*TAN(D14*PI()/180))*(SIN(D14*PI()/180)-COS(D14*PI()/180)*TAN(D15*PI()/180))+D12/COS(D14*PI()/180))</f>
        <v>80.634327330480133</v>
      </c>
      <c r="E6" s="72">
        <f>E9/(2*TAN(E15*PI()/180))*SUMSQ((E13-E10/SIN(E14*PI()/180)-E12*TAN(E14*PI()/180))*(SIN(E14*PI()/180)-COS(E14*PI()/180)*TAN(E15*PI()/180))+E12/COS(E14*PI()/180))</f>
        <v>80.634327330480133</v>
      </c>
      <c r="H6" s="85"/>
    </row>
    <row r="7" spans="1:10" ht="18" customHeight="1" x14ac:dyDescent="0.15">
      <c r="A7" s="21" t="s">
        <v>164</v>
      </c>
      <c r="B7" s="14" t="s">
        <v>165</v>
      </c>
      <c r="C7" s="69" t="s">
        <v>161</v>
      </c>
      <c r="D7" s="72">
        <f>D5*COS(D14*PI()/180)</f>
        <v>128.78722572446728</v>
      </c>
      <c r="E7" s="72">
        <f>E5*COS(E14*PI()/180)</f>
        <v>128.78722572446728</v>
      </c>
      <c r="H7" s="85"/>
    </row>
    <row r="8" spans="1:10" ht="18" customHeight="1" x14ac:dyDescent="0.15">
      <c r="A8" s="21" t="s">
        <v>245</v>
      </c>
      <c r="B8" s="14" t="s">
        <v>246</v>
      </c>
      <c r="C8" s="69" t="s">
        <v>34</v>
      </c>
      <c r="D8" s="72">
        <f>(D13-(D10/SIN(D14*PI()/180))-D12*TAN(D14*PI()/180))*(SIN(D14*PI()/180)-COS(D14*PI()/180)*TAN(D15*PI()/180))</f>
        <v>0.7944911330824671</v>
      </c>
      <c r="E8" s="72">
        <f>(E13-(E10/SIN(E14*PI()/180))-E12*TAN(E14*PI()/180))*(SIN(E14*PI()/180)-COS(E14*PI()/180)*TAN(E15*PI()/180))</f>
        <v>0.7944911330824671</v>
      </c>
      <c r="H8" s="85"/>
    </row>
    <row r="9" spans="1:10" ht="18" customHeight="1" x14ac:dyDescent="0.15">
      <c r="A9" s="21" t="s">
        <v>247</v>
      </c>
      <c r="B9" s="14" t="s">
        <v>248</v>
      </c>
      <c r="C9" s="124" t="s">
        <v>249</v>
      </c>
      <c r="D9" s="70">
        <v>18</v>
      </c>
      <c r="E9" s="70">
        <v>18</v>
      </c>
      <c r="H9" s="85"/>
    </row>
    <row r="10" spans="1:10" ht="18" customHeight="1" x14ac:dyDescent="0.15">
      <c r="A10" s="21" t="s">
        <v>180</v>
      </c>
      <c r="B10" s="89" t="s">
        <v>181</v>
      </c>
      <c r="C10" s="69" t="s">
        <v>34</v>
      </c>
      <c r="D10" s="90">
        <f>D13*SIN(D14*PI()/180)+D12*COS(D14*PI()/180)-D11</f>
        <v>1.5739671486662585</v>
      </c>
      <c r="E10" s="90">
        <f>E13*SIN(E14*PI()/180)+E12*COS(E14*PI()/180)-E11</f>
        <v>1.5739671486662585</v>
      </c>
    </row>
    <row r="11" spans="1:10" ht="18" customHeight="1" x14ac:dyDescent="0.15">
      <c r="A11" s="21" t="s">
        <v>250</v>
      </c>
      <c r="B11" s="89" t="s">
        <v>251</v>
      </c>
      <c r="C11" s="69" t="s">
        <v>34</v>
      </c>
      <c r="D11" s="70">
        <v>4.5</v>
      </c>
      <c r="E11" s="70">
        <v>4.5</v>
      </c>
    </row>
    <row r="12" spans="1:10" ht="18" customHeight="1" x14ac:dyDescent="0.15">
      <c r="A12" s="21" t="s">
        <v>252</v>
      </c>
      <c r="B12" s="14" t="s">
        <v>134</v>
      </c>
      <c r="C12" s="69" t="s">
        <v>34</v>
      </c>
      <c r="D12" s="70">
        <v>1.1000000000000001</v>
      </c>
      <c r="E12" s="70">
        <v>1.1000000000000001</v>
      </c>
    </row>
    <row r="13" spans="1:10" ht="18" customHeight="1" x14ac:dyDescent="0.15">
      <c r="A13" s="21" t="s">
        <v>182</v>
      </c>
      <c r="B13" s="14" t="s">
        <v>183</v>
      </c>
      <c r="C13" s="69" t="s">
        <v>34</v>
      </c>
      <c r="D13" s="70">
        <v>9.3000000000000007</v>
      </c>
      <c r="E13" s="70">
        <v>9.3000000000000007</v>
      </c>
    </row>
    <row r="14" spans="1:10" ht="18" customHeight="1" x14ac:dyDescent="0.15">
      <c r="A14" s="21" t="s">
        <v>135</v>
      </c>
      <c r="B14" s="14" t="s">
        <v>136</v>
      </c>
      <c r="C14" s="69" t="s">
        <v>16</v>
      </c>
      <c r="D14" s="88">
        <f>ATAN(1/D24)*180/PI()</f>
        <v>33.690067525979785</v>
      </c>
      <c r="E14" s="88">
        <f>ATAN(1/E24)*180/PI()</f>
        <v>33.690067525979785</v>
      </c>
      <c r="F14" s="53"/>
    </row>
    <row r="15" spans="1:10" ht="18" customHeight="1" x14ac:dyDescent="0.15">
      <c r="A15" s="21" t="s">
        <v>30</v>
      </c>
      <c r="B15" s="14" t="s">
        <v>137</v>
      </c>
      <c r="C15" s="73" t="s">
        <v>16</v>
      </c>
      <c r="D15" s="88">
        <f>ATAN(1/D25)*180/PI()</f>
        <v>26.56505117707799</v>
      </c>
      <c r="E15" s="88">
        <f>ATAN(1/E25)*180/PI()</f>
        <v>26.56505117707799</v>
      </c>
    </row>
    <row r="16" spans="1:10" ht="18" customHeight="1" x14ac:dyDescent="0.15">
      <c r="A16" s="21" t="s">
        <v>200</v>
      </c>
      <c r="B16" s="14" t="s">
        <v>201</v>
      </c>
      <c r="C16" s="73" t="s">
        <v>16</v>
      </c>
      <c r="D16" s="93">
        <v>30</v>
      </c>
      <c r="E16" s="93">
        <v>30</v>
      </c>
    </row>
    <row r="17" spans="1:6" ht="18" customHeight="1" x14ac:dyDescent="0.15">
      <c r="A17" s="21" t="s">
        <v>202</v>
      </c>
      <c r="B17" s="94" t="s">
        <v>203</v>
      </c>
      <c r="C17" s="95" t="s">
        <v>16</v>
      </c>
      <c r="D17" s="70">
        <v>27</v>
      </c>
      <c r="E17" s="70">
        <v>27</v>
      </c>
    </row>
    <row r="18" spans="1:6" ht="18" customHeight="1" x14ac:dyDescent="0.15">
      <c r="A18" s="21" t="s">
        <v>204</v>
      </c>
      <c r="B18" s="14" t="s">
        <v>205</v>
      </c>
      <c r="C18" s="69" t="s">
        <v>161</v>
      </c>
      <c r="D18" s="96">
        <f>D19*(D13-D10/SIN(D14*PI()/180))</f>
        <v>0</v>
      </c>
      <c r="E18" s="96">
        <f>E19*(E13-E10/SIN(E14*PI()/180))</f>
        <v>6.4624903697939766</v>
      </c>
    </row>
    <row r="19" spans="1:6" ht="18" customHeight="1" x14ac:dyDescent="0.15">
      <c r="A19" s="21" t="s">
        <v>206</v>
      </c>
      <c r="B19" s="14" t="s">
        <v>207</v>
      </c>
      <c r="C19" s="69" t="s">
        <v>253</v>
      </c>
      <c r="D19" s="70">
        <v>0</v>
      </c>
      <c r="E19" s="70">
        <v>1</v>
      </c>
    </row>
    <row r="20" spans="1:6" ht="18" customHeight="1" x14ac:dyDescent="0.15">
      <c r="A20" s="21" t="s">
        <v>12</v>
      </c>
      <c r="B20" s="14" t="s">
        <v>209</v>
      </c>
      <c r="C20" s="69" t="s">
        <v>161</v>
      </c>
      <c r="D20" s="72">
        <f>(D21/TAN(D15*PI()/180))*((D13-D10/SIN(D14*PI()/180)-D12*TAN(D14*PI()/180))*(SIN(D14*PI()/180)-COS(D14*PI()/180)*TAN(D15*PI()/180))+D12/COS(D14*PI()/180))</f>
        <v>0</v>
      </c>
      <c r="E20" s="72">
        <f>(E21/TAN(E15*PI()/180))*((E13-E10/SIN(E14*PI()/180)-E12*TAN(E14*PI()/180))*(SIN(E14*PI()/180)-COS(E14*PI()/180)*TAN(E15*PI()/180))+E12/COS(E14*PI()/180))</f>
        <v>0</v>
      </c>
    </row>
    <row r="21" spans="1:6" ht="18" customHeight="1" x14ac:dyDescent="0.15">
      <c r="A21" s="21" t="s">
        <v>43</v>
      </c>
      <c r="B21" s="14" t="s">
        <v>210</v>
      </c>
      <c r="C21" s="69" t="s">
        <v>253</v>
      </c>
      <c r="D21" s="70">
        <v>0</v>
      </c>
      <c r="E21" s="70">
        <v>0</v>
      </c>
    </row>
    <row r="22" spans="1:6" ht="18" customHeight="1" x14ac:dyDescent="0.15">
      <c r="A22" s="21" t="s">
        <v>254</v>
      </c>
      <c r="B22" s="14" t="s">
        <v>255</v>
      </c>
      <c r="C22" s="69"/>
      <c r="D22" s="70">
        <v>0</v>
      </c>
      <c r="E22" s="70">
        <v>0</v>
      </c>
    </row>
    <row r="23" spans="1:6" ht="18" customHeight="1" x14ac:dyDescent="0.15">
      <c r="A23" s="97" t="s">
        <v>84</v>
      </c>
      <c r="B23" s="98" t="s">
        <v>256</v>
      </c>
      <c r="C23" s="99"/>
      <c r="D23" s="100">
        <f>(-D32+SQRT(D32*D32-4*D30*D35))/(2*D30)</f>
        <v>1.4953605445375793</v>
      </c>
      <c r="E23" s="100">
        <f>(-E32+SQRT(E32*E32-4*E30*E35))/(2*E30)</f>
        <v>1.5617631659071436</v>
      </c>
    </row>
    <row r="24" spans="1:6" ht="18" customHeight="1" x14ac:dyDescent="0.15">
      <c r="A24" s="21" t="s">
        <v>140</v>
      </c>
      <c r="B24" s="14" t="s">
        <v>141</v>
      </c>
      <c r="C24" s="75" t="s">
        <v>23</v>
      </c>
      <c r="D24" s="76">
        <v>1.5</v>
      </c>
      <c r="E24" s="76">
        <v>1.5</v>
      </c>
    </row>
    <row r="25" spans="1:6" ht="18" customHeight="1" x14ac:dyDescent="0.15">
      <c r="A25" s="21" t="s">
        <v>142</v>
      </c>
      <c r="B25" s="14" t="s">
        <v>143</v>
      </c>
      <c r="C25" s="75" t="s">
        <v>23</v>
      </c>
      <c r="D25" s="125">
        <v>2</v>
      </c>
      <c r="E25" s="125">
        <v>2</v>
      </c>
    </row>
    <row r="26" spans="1:6" ht="18" customHeight="1" x14ac:dyDescent="0.15">
      <c r="A26" s="38"/>
    </row>
    <row r="27" spans="1:6" ht="19.5" x14ac:dyDescent="0.4">
      <c r="B27" s="105" t="s">
        <v>214</v>
      </c>
    </row>
    <row r="28" spans="1:6" ht="19.5" customHeight="1" x14ac:dyDescent="0.15">
      <c r="A28" s="105"/>
      <c r="B28" s="106" t="s">
        <v>215</v>
      </c>
      <c r="C28" s="106" t="s">
        <v>257</v>
      </c>
      <c r="D28" s="1" t="s">
        <v>216</v>
      </c>
      <c r="F28" s="1" t="s">
        <v>258</v>
      </c>
    </row>
    <row r="30" spans="1:6" ht="31.5" customHeight="1" x14ac:dyDescent="0.15">
      <c r="A30" s="23" t="s">
        <v>218</v>
      </c>
      <c r="B30" s="24" t="s">
        <v>259</v>
      </c>
      <c r="C30" s="24"/>
      <c r="D30" s="107">
        <f>(D5-D7*COS(D14*PI()/180))*COS((D15*PI()/180+D14*PI()/180)/2)+SIN((D15*PI()/180+D14*PI()/180)/2)*D22*D6</f>
        <v>41.191804113043275</v>
      </c>
      <c r="E30" s="107">
        <f>(E5-E7*COS(E14*PI()/180))*COS((E15*PI()/180+E14*PI()/180)/2)+SIN((E15*PI()/180+E14*PI()/180)/2)*E22*E6</f>
        <v>41.191804113043275</v>
      </c>
    </row>
    <row r="31" spans="1:6" x14ac:dyDescent="0.15">
      <c r="A31" s="64"/>
      <c r="B31" s="65"/>
      <c r="C31" s="65"/>
      <c r="D31" s="65"/>
      <c r="E31" s="65"/>
    </row>
    <row r="32" spans="1:6" x14ac:dyDescent="0.15">
      <c r="A32" s="23" t="s">
        <v>221</v>
      </c>
      <c r="B32" s="111" t="s">
        <v>260</v>
      </c>
      <c r="C32" s="111"/>
      <c r="D32" s="92">
        <f>-((D5-D7*COS(D14*PI()/180))*SIN((D15*PI()/180+D14*PI()/180)/2)*TAN(D16*PI()/180)+(D7*TAN(D17*PI()/180)+D18)*SIN(D14*PI()/180)*COS((D15*PI()/180+D14*PI()/180)/2)+SIN((D15*PI()/180+D14*PI()/180)/2)*(D20+D6*TAN(D16*PI()/180)))</f>
        <v>-68.65052373392686</v>
      </c>
      <c r="E32" s="92">
        <f>-((E5-E7*COS(E14*PI()/180))*SIN((E15*PI()/180+E14*PI()/180)/2)*TAN(E16*PI()/180)+(E7*TAN(E17*PI()/180)+E18)*SIN(E14*PI()/180)*COS((E15*PI()/180+E14*PI()/180)/2)+SIN((E15*PI()/180+E14*PI()/180)/2)*(E20+E6*TAN(E16*PI()/180)))</f>
        <v>-71.751005585649935</v>
      </c>
    </row>
    <row r="33" spans="1:5" x14ac:dyDescent="0.15">
      <c r="A33" s="108"/>
      <c r="B33" s="109" t="s">
        <v>261</v>
      </c>
      <c r="C33" s="109"/>
      <c r="D33" s="109"/>
      <c r="E33" s="109"/>
    </row>
    <row r="34" spans="1:5" x14ac:dyDescent="0.15">
      <c r="A34" s="64"/>
      <c r="B34" s="65"/>
      <c r="C34" s="65"/>
      <c r="D34" s="65"/>
      <c r="E34" s="65"/>
    </row>
    <row r="35" spans="1:5" x14ac:dyDescent="0.15">
      <c r="A35" s="23" t="s">
        <v>226</v>
      </c>
      <c r="B35" s="24" t="s">
        <v>262</v>
      </c>
      <c r="C35" s="24"/>
      <c r="D35" s="107">
        <f>(D7*TAN(D17*PI()/180)+D18)*SIN(D14*PI()/180)*SIN((D15*PI()/180+D14*PI()/180)/2)*TAN(D16*PI()/180)</f>
        <v>10.548161286082042</v>
      </c>
      <c r="E35" s="107">
        <f>(E7*TAN(E17*PI()/180)+E18)*SIN(E14*PI()/180)*SIN((E15*PI()/180+E14*PI()/180)/2)*TAN(E16*PI()/180)</f>
        <v>11.586975783619746</v>
      </c>
    </row>
    <row r="36" spans="1:5" x14ac:dyDescent="0.15">
      <c r="A36" s="64"/>
      <c r="B36" s="65"/>
      <c r="C36" s="65"/>
      <c r="D36" s="65"/>
      <c r="E36" s="65"/>
    </row>
    <row r="38" spans="1:5" ht="20.25" customHeight="1" x14ac:dyDescent="0.15">
      <c r="A38" s="106"/>
    </row>
  </sheetData>
  <phoneticPr fontId="2"/>
  <pageMargins left="0.59055118110236227" right="0.19685039370078741" top="0.98425196850393704" bottom="0.98425196850393704" header="0.51181102362204722" footer="0.51181102362204722"/>
  <pageSetup paperSize="9"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段切り安全率</vt:lpstr>
      <vt:lpstr>段切り図面</vt:lpstr>
      <vt:lpstr>マニュアル</vt:lpstr>
      <vt:lpstr>判別</vt:lpstr>
      <vt:lpstr>テーパー化間隙圧有りSheet1</vt:lpstr>
      <vt:lpstr>テーパー化間隙圧有りSheet2 (2)</vt:lpstr>
      <vt:lpstr>テーパー化間隙圧なし (2)</vt:lpstr>
      <vt:lpstr>　テーパー化・地震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2021-02-20T09:24:06Z</dcterms:created>
  <dcterms:modified xsi:type="dcterms:W3CDTF">2021-02-20T09:54:37Z</dcterms:modified>
</cp:coreProperties>
</file>